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460E565-FE74-4D9A-9890-CAACAC9D348E}" xr6:coauthVersionLast="47" xr6:coauthVersionMax="47" xr10:uidLastSave="{00000000-0000-0000-0000-000000000000}"/>
  <bookViews>
    <workbookView xWindow="-120" yWindow="-120" windowWidth="24240" windowHeight="13140" firstSheet="5" activeTab="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Leave Calculation" sheetId="12" r:id="rId11"/>
  </sheets>
  <calcPr calcId="181029"/>
</workbook>
</file>

<file path=xl/calcChain.xml><?xml version="1.0" encoding="utf-8"?>
<calcChain xmlns="http://schemas.openxmlformats.org/spreadsheetml/2006/main">
  <c r="Y212" i="9" l="1"/>
  <c r="U212" i="9"/>
  <c r="Y231" i="9"/>
  <c r="Y250" i="9"/>
  <c r="AE244" i="9"/>
  <c r="AB244" i="9"/>
  <c r="U253" i="9"/>
  <c r="U252" i="9"/>
  <c r="U251" i="9"/>
  <c r="U250" i="9"/>
  <c r="B264" i="9"/>
  <c r="S32" i="12" l="1"/>
  <c r="R32" i="12"/>
  <c r="Q32" i="12"/>
  <c r="U232" i="9" l="1"/>
  <c r="Y244" i="9"/>
  <c r="AA258" i="9"/>
  <c r="AA257" i="9"/>
  <c r="AF245" i="9"/>
  <c r="J245" i="9"/>
  <c r="AB245" i="9"/>
  <c r="Y225" i="9"/>
  <c r="U233" i="9" l="1"/>
  <c r="U234" i="9" s="1"/>
  <c r="AE245" i="9"/>
  <c r="Y245" i="9"/>
  <c r="AG244" i="9" l="1"/>
  <c r="AG245" i="9" s="1"/>
  <c r="AF226" i="9" l="1"/>
  <c r="J226" i="9"/>
  <c r="AB225" i="9"/>
  <c r="Y226" i="9"/>
  <c r="AB226" i="9" l="1"/>
  <c r="AE225" i="9"/>
  <c r="AG225" i="9" s="1"/>
  <c r="AB206" i="9"/>
  <c r="AE226" i="9" l="1"/>
  <c r="AG226" i="9"/>
  <c r="U213" i="9"/>
  <c r="U214" i="9" s="1"/>
  <c r="U215" i="9" s="1"/>
  <c r="B219" i="9"/>
  <c r="Y206" i="9"/>
  <c r="AE206" i="9" s="1"/>
  <c r="D27" i="12"/>
  <c r="D26" i="12"/>
  <c r="AF207" i="9"/>
  <c r="J207" i="9"/>
  <c r="AB196" i="9"/>
  <c r="AE196" i="9" s="1"/>
  <c r="X200" i="9"/>
  <c r="X201" i="9" s="1"/>
  <c r="D24" i="12"/>
  <c r="D28" i="12" s="1"/>
  <c r="Y207" i="9" l="1"/>
  <c r="AG206" i="9"/>
  <c r="AG207" i="9" s="1"/>
  <c r="AB207" i="9"/>
  <c r="U192" i="10"/>
  <c r="U194" i="10" s="1"/>
  <c r="U195" i="10" s="1"/>
  <c r="U196" i="10" s="1"/>
  <c r="D196" i="10"/>
  <c r="D193" i="10"/>
  <c r="D195" i="10" s="1"/>
  <c r="D197" i="10" s="1"/>
  <c r="H193" i="10"/>
  <c r="H195" i="10" s="1"/>
  <c r="H196" i="10" s="1"/>
  <c r="H197" i="10" s="1"/>
  <c r="Q192" i="10"/>
  <c r="Q194" i="10" s="1"/>
  <c r="Q195" i="10" s="1"/>
  <c r="Q196" i="10" s="1"/>
  <c r="M192" i="10"/>
  <c r="M194" i="10" s="1"/>
  <c r="M195" i="10" s="1"/>
  <c r="M196" i="10" s="1"/>
  <c r="M178" i="10"/>
  <c r="M177" i="10"/>
  <c r="M175" i="10"/>
  <c r="M179" i="10" s="1"/>
  <c r="M67" i="10"/>
  <c r="M69" i="10" s="1"/>
  <c r="M70" i="10" s="1"/>
  <c r="M71" i="10" s="1"/>
  <c r="N42" i="10"/>
  <c r="N43" i="10" s="1"/>
  <c r="D13" i="12"/>
  <c r="D12" i="12"/>
  <c r="D11" i="12"/>
  <c r="D9" i="12"/>
  <c r="D8" i="12"/>
  <c r="Y197" i="9"/>
  <c r="J197" i="9"/>
  <c r="AF197" i="9"/>
  <c r="AB195" i="9"/>
  <c r="AE195" i="9" s="1"/>
  <c r="AE197" i="9" s="1"/>
  <c r="M157" i="10"/>
  <c r="M159" i="10" s="1"/>
  <c r="M160" i="10" s="1"/>
  <c r="M161" i="10" s="1"/>
  <c r="AB175" i="9"/>
  <c r="AD175" i="9" s="1"/>
  <c r="AB174" i="9"/>
  <c r="AD174" i="9" s="1"/>
  <c r="M42" i="10"/>
  <c r="M43" i="10" s="1"/>
  <c r="AF187" i="9" s="1"/>
  <c r="AF189" i="9" s="1"/>
  <c r="Y189" i="9"/>
  <c r="J189" i="9"/>
  <c r="AB187" i="9"/>
  <c r="AB189" i="9" s="1"/>
  <c r="I42" i="10"/>
  <c r="AB180" i="9"/>
  <c r="AE180" i="9" s="1"/>
  <c r="M143" i="10"/>
  <c r="L42" i="10"/>
  <c r="L43" i="10" s="1"/>
  <c r="AF180" i="9" s="1"/>
  <c r="AB179" i="9"/>
  <c r="K42" i="10"/>
  <c r="K43" i="10" s="1"/>
  <c r="AF179" i="9" s="1"/>
  <c r="AE207" i="9" l="1"/>
  <c r="AG180" i="9"/>
  <c r="AB197" i="9"/>
  <c r="AG195" i="9"/>
  <c r="AG197" i="9" s="1"/>
  <c r="AE187" i="9"/>
  <c r="AE189" i="9" s="1"/>
  <c r="M145" i="10"/>
  <c r="M146" i="10" s="1"/>
  <c r="M147" i="10" s="1"/>
  <c r="N127" i="10"/>
  <c r="AF181" i="9"/>
  <c r="J181" i="9"/>
  <c r="Y181" i="9"/>
  <c r="AG187" i="9" l="1"/>
  <c r="AG189" i="9" s="1"/>
  <c r="AB181" i="9"/>
  <c r="AA166" i="9"/>
  <c r="AE179" i="9" l="1"/>
  <c r="AE181" i="9" s="1"/>
  <c r="AB166" i="9"/>
  <c r="AG179" i="9" l="1"/>
  <c r="AG181" i="9" s="1"/>
  <c r="M128" i="10"/>
  <c r="M130" i="10" s="1"/>
  <c r="M131" i="10" s="1"/>
  <c r="M132" i="10" s="1"/>
  <c r="M84" i="10" l="1"/>
  <c r="J42" i="10" l="1"/>
  <c r="J43" i="10" s="1"/>
  <c r="I43" i="10"/>
  <c r="AF157" i="9"/>
  <c r="Y167" i="9"/>
  <c r="Y168" i="9" s="1"/>
  <c r="M108" i="10"/>
  <c r="W111" i="10"/>
  <c r="X111" i="10" s="1"/>
  <c r="Y111" i="10" s="1"/>
  <c r="R97" i="10"/>
  <c r="M94" i="10"/>
  <c r="M98" i="10" s="1"/>
  <c r="M100" i="10" s="1"/>
  <c r="M101" i="10" s="1"/>
  <c r="M102" i="10" s="1"/>
  <c r="M112" i="10"/>
  <c r="M114" i="10" s="1"/>
  <c r="M115" i="10" s="1"/>
  <c r="M116" i="10" s="1"/>
  <c r="J168" i="9"/>
  <c r="AF168" i="9"/>
  <c r="AB167" i="9"/>
  <c r="AE167" i="9" l="1"/>
  <c r="AG167" i="9" s="1"/>
  <c r="AB168" i="9"/>
  <c r="AE166" i="9"/>
  <c r="AE168" i="9" l="1"/>
  <c r="AG166" i="9"/>
  <c r="AG168" i="9" s="1"/>
  <c r="B86" i="10"/>
  <c r="B87" i="10" s="1"/>
  <c r="AB157" i="9" l="1"/>
  <c r="AE157" i="9" s="1"/>
  <c r="Y160" i="9"/>
  <c r="J160" i="9"/>
  <c r="AF159" i="9"/>
  <c r="AB159" i="9"/>
  <c r="AE159" i="9" s="1"/>
  <c r="AF158" i="9"/>
  <c r="AB158" i="9"/>
  <c r="AE158" i="9" s="1"/>
  <c r="M80" i="10"/>
  <c r="M82" i="10" s="1"/>
  <c r="AE160" i="9" l="1"/>
  <c r="AF160" i="9"/>
  <c r="AG159" i="9"/>
  <c r="AG158" i="9"/>
  <c r="AB160" i="9"/>
  <c r="AG157" i="9"/>
  <c r="H86" i="10"/>
  <c r="H87" i="10" s="1"/>
  <c r="G86" i="10"/>
  <c r="G87" i="10" s="1"/>
  <c r="F86" i="10"/>
  <c r="F87" i="10" s="1"/>
  <c r="E86" i="10"/>
  <c r="E87" i="10" s="1"/>
  <c r="D86" i="10"/>
  <c r="D87" i="10" s="1"/>
  <c r="C86" i="10"/>
  <c r="C87" i="10" s="1"/>
  <c r="AG160" i="9" l="1"/>
  <c r="D69" i="10"/>
  <c r="D70" i="10" s="1"/>
  <c r="C69" i="10"/>
  <c r="C70" i="10" s="1"/>
  <c r="B69" i="10"/>
  <c r="B70" i="10" s="1"/>
  <c r="H69" i="10"/>
  <c r="H70" i="10" s="1"/>
  <c r="G69" i="10"/>
  <c r="G70" i="10" s="1"/>
  <c r="F69" i="10"/>
  <c r="F70" i="10" s="1"/>
  <c r="E69" i="10"/>
  <c r="E70" i="10" s="1"/>
  <c r="J152" i="9" l="1"/>
  <c r="Y152" i="9"/>
  <c r="AF151" i="9"/>
  <c r="AB151" i="9"/>
  <c r="AE151" i="9" s="1"/>
  <c r="AF150" i="9"/>
  <c r="AB150" i="9"/>
  <c r="AE150" i="9" s="1"/>
  <c r="AF149" i="9"/>
  <c r="AB149" i="9"/>
  <c r="AB152" i="9" l="1"/>
  <c r="AG150" i="9"/>
  <c r="AG151" i="9"/>
  <c r="AE149" i="9"/>
  <c r="AE152" i="9" s="1"/>
  <c r="AF152" i="9"/>
  <c r="AB142" i="9"/>
  <c r="AG149" i="9" l="1"/>
  <c r="AG152" i="9" s="1"/>
  <c r="H42" i="10"/>
  <c r="H43" i="10" s="1"/>
  <c r="Y142" i="9"/>
  <c r="AE142" i="9" s="1"/>
  <c r="AG142" i="9" s="1"/>
  <c r="Y140" i="9" l="1"/>
  <c r="AB140" i="9"/>
  <c r="AE140" i="9" l="1"/>
  <c r="Y137" i="9"/>
  <c r="Y136" i="9"/>
  <c r="AB137" i="9"/>
  <c r="AB136" i="9"/>
  <c r="AB135" i="9"/>
  <c r="AE135" i="9" s="1"/>
  <c r="AB134" i="9"/>
  <c r="AB133" i="9"/>
  <c r="Y138" i="9" l="1"/>
  <c r="AE137" i="9"/>
  <c r="AE136" i="9"/>
  <c r="AE133" i="9"/>
  <c r="AB138" i="9"/>
  <c r="AE134" i="9"/>
  <c r="G42" i="10"/>
  <c r="G43" i="10" s="1"/>
  <c r="AF137" i="9" s="1"/>
  <c r="F42" i="10"/>
  <c r="F43" i="10" s="1"/>
  <c r="AF140" i="9" s="1"/>
  <c r="AG140" i="9" s="1"/>
  <c r="E42" i="10"/>
  <c r="E43" i="10" s="1"/>
  <c r="AF136" i="9" s="1"/>
  <c r="D42" i="10"/>
  <c r="D43" i="10" s="1"/>
  <c r="AF135" i="9" s="1"/>
  <c r="AG135" i="9" s="1"/>
  <c r="C42" i="10"/>
  <c r="C43" i="10" s="1"/>
  <c r="AF134" i="9" s="1"/>
  <c r="B42" i="10"/>
  <c r="B43" i="10" s="1"/>
  <c r="AF133" i="9" s="1"/>
  <c r="AG134" i="9" l="1"/>
  <c r="AG137" i="9"/>
  <c r="AG136" i="9"/>
  <c r="AE138" i="9"/>
  <c r="AF138" i="9"/>
  <c r="AG133" i="9"/>
  <c r="J138" i="9"/>
  <c r="AG138" i="9" l="1"/>
  <c r="AB120" i="9"/>
  <c r="AG120" i="9" s="1"/>
  <c r="AB119" i="9"/>
  <c r="AG119" i="9" s="1"/>
  <c r="AN117" i="9"/>
  <c r="AO119" i="9"/>
  <c r="AL119" i="9"/>
  <c r="AP119" i="9" s="1"/>
  <c r="AK120" i="9"/>
  <c r="AK121" i="9"/>
  <c r="AK122" i="9"/>
  <c r="AK119" i="9"/>
  <c r="AK123" i="9" l="1"/>
  <c r="AK124" i="9" s="1"/>
  <c r="AG125" i="9"/>
  <c r="AF125" i="9"/>
  <c r="Y125" i="9"/>
  <c r="J125" i="9"/>
  <c r="AB122" i="9"/>
  <c r="AE122" i="9" s="1"/>
  <c r="AE125" i="9" s="1"/>
  <c r="AB125" i="9" l="1"/>
  <c r="AI107" i="9"/>
  <c r="AI106" i="9"/>
  <c r="AI108" i="9" s="1"/>
  <c r="AI109" i="9" s="1"/>
  <c r="AG112" i="9"/>
  <c r="AF112" i="9"/>
  <c r="J112" i="9"/>
  <c r="AB109" i="9"/>
  <c r="AE109" i="9" s="1"/>
  <c r="AB107" i="9"/>
  <c r="AE107" i="9" s="1"/>
  <c r="AB106" i="9"/>
  <c r="AB112" i="9" l="1"/>
  <c r="AE106" i="9"/>
  <c r="AE112" i="9" s="1"/>
  <c r="Y112" i="9"/>
  <c r="AB95" i="9"/>
  <c r="AE95" i="9" s="1"/>
  <c r="AI96" i="9"/>
  <c r="AA94" i="9" l="1"/>
  <c r="AB94" i="9" l="1"/>
  <c r="Y94" i="9"/>
  <c r="AG100" i="9" l="1"/>
  <c r="AF100" i="9"/>
  <c r="J100" i="9"/>
  <c r="AB97" i="9"/>
  <c r="AB100" i="9" s="1"/>
  <c r="Y100" i="9"/>
  <c r="AE97" i="9" l="1"/>
  <c r="AE94" i="9"/>
  <c r="Y83" i="9"/>
  <c r="AE100" i="9" l="1"/>
  <c r="AB82" i="9"/>
  <c r="AF82" i="9"/>
  <c r="AF81" i="9"/>
  <c r="AE82" i="9" l="1"/>
  <c r="AB83" i="9"/>
  <c r="AE83" i="9" s="1"/>
  <c r="AH83" i="9" s="1"/>
  <c r="AB84" i="9"/>
  <c r="AE84" i="9" s="1"/>
  <c r="Y87" i="9" l="1"/>
  <c r="J87" i="9"/>
  <c r="AF87" i="9"/>
  <c r="AB81" i="9"/>
  <c r="AB87" i="9" s="1"/>
  <c r="AE81" i="9" l="1"/>
  <c r="AF69" i="9"/>
  <c r="AE87" i="9" l="1"/>
  <c r="AG87" i="9"/>
  <c r="Y75" i="9"/>
  <c r="J75" i="9"/>
  <c r="AF75" i="9"/>
  <c r="AB69" i="9"/>
  <c r="AE69" i="9" s="1"/>
  <c r="AG69" i="9" l="1"/>
  <c r="AB75" i="9"/>
  <c r="AT58" i="9"/>
  <c r="AF58" i="9" s="1"/>
  <c r="AT59" i="9"/>
  <c r="AF59" i="9" s="1"/>
  <c r="AT57" i="9"/>
  <c r="AF57" i="9" s="1"/>
  <c r="AE75" i="9" l="1"/>
  <c r="AG75" i="9"/>
  <c r="AA59" i="9"/>
  <c r="AB59" i="9" s="1"/>
  <c r="AE59" i="9" s="1"/>
  <c r="AG59" i="9" s="1"/>
  <c r="AA58" i="9"/>
  <c r="AF63" i="9" l="1"/>
  <c r="Y63" i="9"/>
  <c r="J63" i="9"/>
  <c r="AB58" i="9"/>
  <c r="AE58" i="9" s="1"/>
  <c r="AG58" i="9" s="1"/>
  <c r="AB57" i="9"/>
  <c r="AB63" i="9" l="1"/>
  <c r="AE57" i="9"/>
  <c r="AI45" i="9"/>
  <c r="AI44" i="9"/>
  <c r="AI46" i="9" s="1"/>
  <c r="AI47" i="9" s="1"/>
  <c r="AI48" i="9" s="1"/>
  <c r="AB44" i="9"/>
  <c r="AE44" i="9" s="1"/>
  <c r="AA45" i="9"/>
  <c r="AE63" i="9" l="1"/>
  <c r="AG57" i="9"/>
  <c r="AG63" i="9" s="1"/>
  <c r="AF50" i="9"/>
  <c r="Y50" i="9"/>
  <c r="J50" i="9"/>
  <c r="AB45" i="9"/>
  <c r="AE45" i="9" s="1"/>
  <c r="AG45" i="9" s="1"/>
  <c r="AE50" i="9" l="1"/>
  <c r="AG44" i="9"/>
  <c r="AG50" i="9" s="1"/>
  <c r="AB50" i="9"/>
  <c r="AH34" i="9" l="1"/>
  <c r="AJ33" i="9"/>
  <c r="AI39" i="9" l="1"/>
  <c r="AF38" i="9"/>
  <c r="AB34" i="9"/>
  <c r="AE34" i="9" s="1"/>
  <c r="AG34" i="9" s="1"/>
  <c r="AJ29" i="9"/>
  <c r="J38" i="9"/>
  <c r="AB33" i="9"/>
  <c r="AE33" i="9" s="1"/>
  <c r="AG33" i="9" s="1"/>
  <c r="Y38" i="9"/>
  <c r="AB32" i="9"/>
  <c r="AE32" i="9" s="1"/>
  <c r="AG32" i="9" s="1"/>
  <c r="AG38" i="9" l="1"/>
  <c r="AE38" i="9"/>
  <c r="AI40" i="9"/>
  <c r="AI41" i="9" s="1"/>
  <c r="AI34" i="9"/>
  <c r="AB38" i="9"/>
  <c r="Y20" i="9"/>
  <c r="Y25" i="9" s="1"/>
  <c r="AF20" i="9"/>
  <c r="AF19" i="9"/>
  <c r="AF25" i="9" s="1"/>
  <c r="AB20" i="9"/>
  <c r="AB19" i="9"/>
  <c r="AE19" i="9" s="1"/>
  <c r="AB25" i="9" l="1"/>
  <c r="AE20" i="9"/>
  <c r="AE25" i="9" s="1"/>
  <c r="J25" i="9" l="1"/>
  <c r="AB7" i="9" l="1"/>
  <c r="AE7" i="9" s="1"/>
  <c r="AB8" i="9"/>
  <c r="AE8" i="9" s="1"/>
  <c r="AB5" i="9"/>
  <c r="Y5" i="9"/>
  <c r="Y16" i="8" l="1"/>
  <c r="Y13" i="8"/>
  <c r="Y4" i="9"/>
  <c r="V12" i="9" l="1"/>
  <c r="V14" i="9" s="1"/>
  <c r="V15" i="9" s="1"/>
  <c r="Z10" i="9"/>
  <c r="J10" i="9"/>
  <c r="AB6" i="9"/>
  <c r="AE6" i="9" s="1"/>
  <c r="AB4" i="9"/>
  <c r="Y10" i="9"/>
  <c r="AB10" i="9" l="1"/>
  <c r="AE4" i="9"/>
  <c r="AE5" i="9"/>
  <c r="X10" i="9"/>
  <c r="AB19" i="8"/>
  <c r="AB4" i="8"/>
  <c r="V12" i="8"/>
  <c r="V14" i="8" s="1"/>
  <c r="V15" i="8" s="1"/>
  <c r="V16" i="8" s="1"/>
  <c r="V17" i="8" s="1"/>
  <c r="Y4" i="8"/>
  <c r="X7" i="8"/>
  <c r="AB7" i="8" s="1"/>
  <c r="AD7" i="8" s="1"/>
  <c r="AD4" i="8" l="1"/>
  <c r="AE10" i="9"/>
  <c r="X6" i="8"/>
  <c r="AB6" i="8" s="1"/>
  <c r="AD6" i="8" s="1"/>
  <c r="X5" i="8"/>
  <c r="AB5" i="8" s="1"/>
  <c r="AD5" i="8" s="1"/>
  <c r="AB15" i="7" l="1"/>
  <c r="AB14" i="7"/>
  <c r="AB7" i="7" l="1"/>
  <c r="AD7" i="7" s="1"/>
  <c r="AB6" i="7"/>
  <c r="AD6" i="7" s="1"/>
  <c r="AB5" i="7"/>
  <c r="AD5" i="7" s="1"/>
  <c r="AB4" i="7"/>
  <c r="AB18" i="7"/>
  <c r="Y15" i="7"/>
  <c r="Y14" i="7"/>
  <c r="Y7" i="7"/>
  <c r="Y6" i="7"/>
  <c r="Y4" i="7"/>
  <c r="Y16" i="7" l="1"/>
  <c r="Y17" i="7" s="1"/>
  <c r="AD4" i="7"/>
  <c r="Y18" i="7"/>
  <c r="AC10" i="8" l="1"/>
  <c r="Z10" i="8"/>
  <c r="X10" i="8"/>
  <c r="AB10" i="8"/>
  <c r="Y10" i="8"/>
  <c r="AC10" i="7"/>
  <c r="Z10" i="7"/>
  <c r="X10" i="7"/>
  <c r="Y10" i="7"/>
  <c r="J4" i="7"/>
  <c r="AB10" i="7" l="1"/>
  <c r="AD10" i="8"/>
  <c r="J10" i="8"/>
  <c r="P4" i="7"/>
  <c r="Q4" i="7" s="1"/>
  <c r="AD10" i="7"/>
  <c r="J10" i="7"/>
  <c r="AA4" i="6"/>
  <c r="X4" i="6" l="1"/>
  <c r="AB6" i="6" l="1"/>
  <c r="Y6" i="6"/>
  <c r="W6" i="6"/>
  <c r="AA6" i="6"/>
  <c r="X6" i="6"/>
  <c r="J4" i="6"/>
  <c r="P4" i="6" l="1"/>
  <c r="Q4" i="6" s="1"/>
  <c r="AC4" i="6"/>
  <c r="AC6" i="6" s="1"/>
  <c r="J6" i="6"/>
  <c r="AA5" i="5"/>
  <c r="X5" i="5" l="1"/>
  <c r="AA4" i="5"/>
  <c r="AA10" i="5" s="1"/>
  <c r="X4" i="5"/>
  <c r="X10" i="5" s="1"/>
  <c r="AB10" i="5"/>
  <c r="Y10" i="5"/>
  <c r="W10" i="5"/>
  <c r="J4" i="5"/>
  <c r="P4" i="5" s="1"/>
  <c r="AC5" i="5" l="1"/>
  <c r="J10" i="5"/>
  <c r="Q4" i="5"/>
  <c r="AC4" i="5"/>
  <c r="AA9" i="4"/>
  <c r="AA8" i="4"/>
  <c r="AA7" i="4"/>
  <c r="AC7" i="4" s="1"/>
  <c r="AA6" i="4"/>
  <c r="X9" i="4"/>
  <c r="X8" i="4"/>
  <c r="X6" i="4"/>
  <c r="W10" i="4"/>
  <c r="AC8" i="4" l="1"/>
  <c r="AC9" i="4"/>
  <c r="AC6" i="4"/>
  <c r="AC10" i="5"/>
  <c r="AA5" i="4"/>
  <c r="AA4" i="4"/>
  <c r="X4" i="4" l="1"/>
  <c r="X10" i="4" l="1"/>
  <c r="AB10" i="4" l="1"/>
  <c r="AA10" i="4"/>
  <c r="Y10" i="4"/>
  <c r="P6" i="4"/>
  <c r="Q6" i="4" s="1"/>
  <c r="AC5" i="4"/>
  <c r="AC4" i="4"/>
  <c r="J4" i="4"/>
  <c r="AC10" i="4" l="1"/>
  <c r="J10" i="4"/>
  <c r="P4" i="4"/>
  <c r="Q4" i="4" s="1"/>
  <c r="AE7" i="3"/>
  <c r="AE6" i="3"/>
  <c r="AE5" i="3"/>
  <c r="AD49" i="3"/>
  <c r="Z49" i="3"/>
  <c r="AD52" i="3" s="1"/>
  <c r="AC49" i="3"/>
  <c r="AI83" i="3"/>
  <c r="AH83" i="3"/>
  <c r="AG83" i="3"/>
  <c r="AJ82" i="3"/>
  <c r="AJ83" i="3" s="1"/>
  <c r="AJ84" i="3" s="1"/>
  <c r="AI82" i="3"/>
  <c r="AI84" i="3" s="1"/>
  <c r="AI85" i="3" s="1"/>
  <c r="AI86" i="3" s="1"/>
  <c r="AH82" i="3"/>
  <c r="AH84" i="3" s="1"/>
  <c r="AH85" i="3" s="1"/>
  <c r="AG82" i="3"/>
  <c r="AG84" i="3" s="1"/>
  <c r="AG85" i="3" s="1"/>
  <c r="AD76" i="3"/>
  <c r="L76" i="3"/>
  <c r="AC75" i="3"/>
  <c r="Z75" i="3"/>
  <c r="AC74" i="3"/>
  <c r="Z74" i="3"/>
  <c r="S74" i="3"/>
  <c r="AC73" i="3"/>
  <c r="Z73" i="3"/>
  <c r="AC72" i="3"/>
  <c r="Z72" i="3"/>
  <c r="R72" i="3"/>
  <c r="S72" i="3" s="1"/>
  <c r="AA49" i="3"/>
  <c r="AE47" i="3"/>
  <c r="R47" i="3"/>
  <c r="AE44" i="3"/>
  <c r="L44" i="3"/>
  <c r="S44" i="3" s="1"/>
  <c r="AE43" i="3"/>
  <c r="AE42" i="3"/>
  <c r="AE41" i="3"/>
  <c r="AE40" i="3"/>
  <c r="AE39" i="3"/>
  <c r="AE38" i="3"/>
  <c r="AE37" i="3"/>
  <c r="AE36" i="3"/>
  <c r="AE35" i="3"/>
  <c r="Y35" i="3"/>
  <c r="Y49" i="3" s="1"/>
  <c r="O35" i="3"/>
  <c r="Q35" i="3" s="1"/>
  <c r="K35" i="3"/>
  <c r="J35" i="3"/>
  <c r="I35" i="3"/>
  <c r="H35" i="3"/>
  <c r="AE34" i="3"/>
  <c r="O34" i="3"/>
  <c r="Q34" i="3" s="1"/>
  <c r="K34" i="3"/>
  <c r="J34" i="3"/>
  <c r="I34" i="3"/>
  <c r="H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9" i="3"/>
  <c r="AE8" i="3"/>
  <c r="R7" i="3"/>
  <c r="S7" i="3" s="1"/>
  <c r="L5" i="3"/>
  <c r="L49" i="3" s="1"/>
  <c r="AE4" i="3"/>
  <c r="AE75" i="3" l="1"/>
  <c r="AE74" i="3"/>
  <c r="AC76" i="3"/>
  <c r="AE73" i="3"/>
  <c r="Z76" i="3"/>
  <c r="AE72" i="3"/>
  <c r="R5" i="3"/>
  <c r="S5" i="3" s="1"/>
  <c r="AE49" i="3"/>
  <c r="AC47" i="1"/>
  <c r="AC44" i="1"/>
  <c r="AC43" i="1"/>
  <c r="AC33" i="1"/>
  <c r="AC32" i="1"/>
  <c r="AC29" i="1"/>
  <c r="AC28" i="1"/>
  <c r="AC27" i="1"/>
  <c r="AC26" i="1"/>
  <c r="AC25" i="1"/>
  <c r="AC22" i="1"/>
  <c r="AC19" i="1"/>
  <c r="AC16" i="1"/>
  <c r="AC13" i="1"/>
  <c r="AC12" i="1"/>
  <c r="AC9" i="1"/>
  <c r="AC8" i="1"/>
  <c r="AC7" i="1"/>
  <c r="Y35" i="1"/>
  <c r="Z47" i="1"/>
  <c r="AE76" i="3" l="1"/>
  <c r="AE33" i="1"/>
  <c r="AE32" i="1"/>
  <c r="AE40" i="1"/>
  <c r="AE39" i="1"/>
  <c r="AE38" i="1"/>
  <c r="AE37" i="1"/>
  <c r="AE36" i="1"/>
  <c r="AE35" i="1"/>
  <c r="AE34" i="1"/>
  <c r="AE28" i="1"/>
  <c r="Z43" i="1"/>
  <c r="AE43" i="1" s="1"/>
  <c r="Z29" i="1"/>
  <c r="Z28" i="1"/>
  <c r="Z27" i="1"/>
  <c r="Z13" i="1"/>
  <c r="AE13" i="1" s="1"/>
  <c r="Z12" i="1"/>
  <c r="Z9" i="1"/>
  <c r="AE9" i="1" s="1"/>
  <c r="Z8" i="1"/>
  <c r="AE8" i="1" s="1"/>
  <c r="X166" i="2"/>
  <c r="X164" i="2"/>
  <c r="X163" i="2"/>
  <c r="X138" i="2"/>
  <c r="X137" i="2"/>
  <c r="X135" i="2"/>
  <c r="X134" i="2"/>
  <c r="X131" i="2"/>
  <c r="X126" i="2"/>
  <c r="X123" i="2"/>
  <c r="X120" i="2"/>
  <c r="X115" i="2"/>
  <c r="X112" i="2"/>
  <c r="X111" i="2"/>
  <c r="X107" i="2"/>
  <c r="X106" i="2"/>
  <c r="X104" i="2"/>
  <c r="X103" i="2"/>
  <c r="X97" i="2"/>
  <c r="X84" i="2"/>
  <c r="X83" i="2"/>
  <c r="X82" i="2"/>
  <c r="X81" i="2"/>
  <c r="X68" i="2"/>
  <c r="X65" i="2"/>
  <c r="X64" i="2"/>
  <c r="X62" i="2"/>
  <c r="X59" i="2"/>
  <c r="X53" i="2"/>
  <c r="X49" i="2"/>
  <c r="X48" i="2"/>
  <c r="X44" i="2"/>
  <c r="X43" i="2"/>
  <c r="X42" i="2"/>
  <c r="X40" i="2"/>
  <c r="X39" i="2"/>
  <c r="X38" i="2"/>
  <c r="X37" i="2"/>
  <c r="X36" i="2"/>
  <c r="X35" i="2"/>
  <c r="X33" i="2"/>
  <c r="X31" i="2"/>
  <c r="X28" i="2"/>
  <c r="X26" i="2"/>
  <c r="X22" i="2"/>
  <c r="X16" i="2"/>
  <c r="X15" i="2"/>
  <c r="X14" i="2"/>
  <c r="R198" i="2"/>
  <c r="R197" i="2"/>
  <c r="R196" i="2"/>
  <c r="R195" i="2"/>
  <c r="R194" i="2"/>
  <c r="R193" i="2"/>
  <c r="R192" i="2"/>
  <c r="R191" i="2"/>
  <c r="R190" i="2"/>
  <c r="R189" i="2"/>
  <c r="R188" i="2"/>
  <c r="R183" i="2"/>
  <c r="R182" i="2"/>
  <c r="R181" i="2"/>
  <c r="R180" i="2"/>
  <c r="R179" i="2"/>
  <c r="R178" i="2"/>
  <c r="R177" i="2"/>
  <c r="R176" i="2"/>
  <c r="R175" i="2"/>
  <c r="R174" i="2"/>
  <c r="R172" i="2"/>
  <c r="R170" i="2"/>
  <c r="R169" i="2"/>
  <c r="R168" i="2"/>
  <c r="R167" i="2"/>
  <c r="R165" i="2"/>
  <c r="R164" i="2"/>
  <c r="R163" i="2"/>
  <c r="R162" i="2"/>
  <c r="R161" i="2"/>
  <c r="R160" i="2"/>
  <c r="R138" i="2"/>
  <c r="R130" i="2"/>
  <c r="R129" i="2"/>
  <c r="R128" i="2"/>
  <c r="R127" i="2"/>
  <c r="R126" i="2"/>
  <c r="R125" i="2"/>
  <c r="R124" i="2"/>
  <c r="R123" i="2"/>
  <c r="R122" i="2"/>
  <c r="R121" i="2"/>
  <c r="R120" i="2"/>
  <c r="R116" i="2"/>
  <c r="R115" i="2"/>
  <c r="R114" i="2"/>
  <c r="R112" i="2"/>
  <c r="R111" i="2"/>
  <c r="R110" i="2"/>
  <c r="R107" i="2"/>
  <c r="R106" i="2"/>
  <c r="R105" i="2"/>
  <c r="R104" i="2"/>
  <c r="R103" i="2"/>
  <c r="R102" i="2"/>
  <c r="R101" i="2"/>
  <c r="R100" i="2"/>
  <c r="R99" i="2"/>
  <c r="R98" i="2"/>
  <c r="R97" i="2"/>
  <c r="R93" i="2"/>
  <c r="R92" i="2"/>
  <c r="R84" i="2"/>
  <c r="R81" i="2"/>
  <c r="R80" i="2"/>
  <c r="R71" i="2"/>
  <c r="R69" i="2"/>
  <c r="R68" i="2"/>
  <c r="R66" i="2"/>
  <c r="R65" i="2"/>
  <c r="R64" i="2"/>
  <c r="R63" i="2"/>
  <c r="R62" i="2"/>
  <c r="R61" i="2"/>
  <c r="R60" i="2"/>
  <c r="R59" i="2"/>
  <c r="R58" i="2"/>
  <c r="R56" i="2"/>
  <c r="R55" i="2"/>
  <c r="R52" i="2"/>
  <c r="R51" i="2"/>
  <c r="R42" i="2"/>
  <c r="R41" i="2"/>
  <c r="R40" i="2"/>
  <c r="R39" i="2"/>
  <c r="R38" i="2"/>
  <c r="R37" i="2"/>
  <c r="R36" i="2"/>
  <c r="R35" i="2"/>
  <c r="R34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4" i="2"/>
  <c r="R12" i="2"/>
  <c r="R10" i="2"/>
  <c r="R9" i="2"/>
  <c r="R6" i="2"/>
  <c r="AA49" i="1"/>
  <c r="M173" i="2"/>
  <c r="R173" i="2" s="1"/>
  <c r="M185" i="2"/>
  <c r="M184" i="2"/>
  <c r="M171" i="2"/>
  <c r="M166" i="2"/>
  <c r="R166" i="2" s="1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7" i="2"/>
  <c r="M135" i="2"/>
  <c r="R135" i="2" s="1"/>
  <c r="B135" i="2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M131" i="2"/>
  <c r="B121" i="2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05" i="2"/>
  <c r="B106" i="2" s="1"/>
  <c r="B107" i="2" s="1"/>
  <c r="M94" i="2"/>
  <c r="M91" i="2"/>
  <c r="B91" i="2"/>
  <c r="B92" i="2" s="1"/>
  <c r="B93" i="2" s="1"/>
  <c r="B94" i="2" s="1"/>
  <c r="B95" i="2" s="1"/>
  <c r="M90" i="2"/>
  <c r="M88" i="2"/>
  <c r="M83" i="2"/>
  <c r="M82" i="2"/>
  <c r="B81" i="2"/>
  <c r="B82" i="2" s="1"/>
  <c r="B83" i="2" s="1"/>
  <c r="B84" i="2" s="1"/>
  <c r="M76" i="2"/>
  <c r="B59" i="2"/>
  <c r="B60" i="2" s="1"/>
  <c r="B61" i="2" s="1"/>
  <c r="B62" i="2" s="1"/>
  <c r="B63" i="2" s="1"/>
  <c r="B64" i="2" s="1"/>
  <c r="B65" i="2" s="1"/>
  <c r="B66" i="2" s="1"/>
  <c r="M53" i="2"/>
  <c r="B21" i="2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15" i="2"/>
  <c r="B16" i="2" s="1"/>
  <c r="B17" i="2" s="1"/>
  <c r="B10" i="2"/>
  <c r="B9" i="2"/>
  <c r="M8" i="2"/>
  <c r="X4" i="2"/>
  <c r="Z4" i="2" s="1"/>
  <c r="R200" i="2" l="1"/>
  <c r="AE27" i="1"/>
  <c r="AE29" i="1"/>
  <c r="AE12" i="1"/>
  <c r="AE4" i="1"/>
  <c r="AE14" i="1"/>
  <c r="AE15" i="1"/>
  <c r="AE17" i="1"/>
  <c r="AE18" i="1"/>
  <c r="AE20" i="1"/>
  <c r="AE21" i="1"/>
  <c r="AE23" i="1"/>
  <c r="AE24" i="1"/>
  <c r="AE30" i="1"/>
  <c r="AE31" i="1"/>
  <c r="AE41" i="1"/>
  <c r="AE42" i="1"/>
  <c r="AE47" i="1"/>
  <c r="AE16" i="1"/>
  <c r="AC6" i="1"/>
  <c r="AC5" i="1"/>
  <c r="Z44" i="1"/>
  <c r="Z26" i="1"/>
  <c r="Z25" i="1"/>
  <c r="Z22" i="1"/>
  <c r="Z19" i="1"/>
  <c r="Z7" i="1"/>
  <c r="Z6" i="1"/>
  <c r="Z5" i="1"/>
  <c r="AE44" i="1" l="1"/>
  <c r="AE5" i="1"/>
  <c r="AE22" i="1"/>
  <c r="AE19" i="1"/>
  <c r="AE7" i="1"/>
  <c r="AE26" i="1"/>
  <c r="AE6" i="1"/>
  <c r="AE25" i="1"/>
  <c r="AI83" i="1"/>
  <c r="AH83" i="1"/>
  <c r="AG83" i="1"/>
  <c r="AJ82" i="1"/>
  <c r="AJ83" i="1" s="1"/>
  <c r="AJ84" i="1" s="1"/>
  <c r="AI82" i="1"/>
  <c r="AI84" i="1" s="1"/>
  <c r="AI85" i="1" s="1"/>
  <c r="AI86" i="1" s="1"/>
  <c r="AH82" i="1"/>
  <c r="AH84" i="1" s="1"/>
  <c r="AH85" i="1" s="1"/>
  <c r="AG82" i="1"/>
  <c r="AG84" i="1" s="1"/>
  <c r="AG85" i="1" s="1"/>
  <c r="AD76" i="1"/>
  <c r="L76" i="1"/>
  <c r="AC75" i="1"/>
  <c r="Z75" i="1"/>
  <c r="AC74" i="1"/>
  <c r="Z74" i="1"/>
  <c r="S74" i="1"/>
  <c r="AC73" i="1"/>
  <c r="Z73" i="1"/>
  <c r="AC72" i="1"/>
  <c r="Z72" i="1"/>
  <c r="R72" i="1"/>
  <c r="S72" i="1" s="1"/>
  <c r="AD49" i="1"/>
  <c r="R47" i="1"/>
  <c r="L44" i="1"/>
  <c r="S44" i="1" s="1"/>
  <c r="Y49" i="1"/>
  <c r="O35" i="1"/>
  <c r="Q35" i="1" s="1"/>
  <c r="K35" i="1"/>
  <c r="J35" i="1"/>
  <c r="I35" i="1"/>
  <c r="H35" i="1"/>
  <c r="O34" i="1"/>
  <c r="Q34" i="1" s="1"/>
  <c r="K34" i="1"/>
  <c r="J34" i="1"/>
  <c r="I34" i="1"/>
  <c r="H34" i="1"/>
  <c r="R7" i="1"/>
  <c r="S7" i="1" s="1"/>
  <c r="L5" i="1"/>
  <c r="R5" i="1" s="1"/>
  <c r="S5" i="1" s="1"/>
  <c r="AE73" i="1" l="1"/>
  <c r="AE72" i="1"/>
  <c r="AC76" i="1"/>
  <c r="Z76" i="1"/>
  <c r="AE74" i="1"/>
  <c r="Z49" i="1"/>
  <c r="L49" i="1"/>
  <c r="AE75" i="1"/>
  <c r="AE76" i="1" l="1"/>
  <c r="AC49" i="1"/>
  <c r="AE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leave-34
Vacation -20
Availabel -14
50% 7 days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* 14 x 9.10=138
* 138 - 21 = 117
* 117 / 2 = 58
</t>
        </r>
      </text>
    </comment>
    <comment ref="Z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* 14 x 9.9=136.5
* 136.5 - 6 = 130.5
* 130.5 / 2 = 65</t>
        </r>
      </text>
    </comment>
    <comment ref="Z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leave-34
Vacation -20
Availabel -14
50% 7 days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Z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* 14 x 3.6=49
* 49-19 = 30
* 30 / 2 = 15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A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* 14 x 3.10=54
* 54 - 28 = 26
* 26 / 2 = 13
</t>
        </r>
      </text>
    </comment>
    <comment ref="AA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* 14 x 2.2=30
* 30 - 3 = 27
*27 / 2 = 14</t>
        </r>
      </text>
    </comment>
    <comment ref="AA6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* 14 x 4.8=65
*65 / 2 = 33</t>
        </r>
      </text>
    </comment>
    <comment ref="AA7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leave-77
Vacation -10
Availabel -67
50% 34 days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A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leave-34
Vacation -20
Availabel -14
50% 7 days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A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leave-34
Vacation -20
Availabel -14
50% 7 days</t>
        </r>
      </text>
    </comment>
    <comment ref="AA57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15/2=8</t>
        </r>
      </text>
    </comment>
    <comment ref="AA58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Leave=36
Deduct = 16
Avail = 20</t>
        </r>
      </text>
    </comment>
    <comment ref="AA59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Leave=16
Deduct=6
Avail=10</t>
        </r>
      </text>
    </comment>
  </commentList>
</comments>
</file>

<file path=xl/sharedStrings.xml><?xml version="1.0" encoding="utf-8"?>
<sst xmlns="http://schemas.openxmlformats.org/spreadsheetml/2006/main" count="3641" uniqueCount="1385">
  <si>
    <t>Retired Armed Forces Officers' Welfare Association (RAOWA)</t>
  </si>
  <si>
    <t>Dept. Wise Employee List (Red)</t>
  </si>
  <si>
    <t>Sl No.</t>
  </si>
  <si>
    <t>Name</t>
  </si>
  <si>
    <t xml:space="preserve">Appointment </t>
  </si>
  <si>
    <t>Dt of Joining &amp; approx RAOWA svc</t>
  </si>
  <si>
    <t>Salary</t>
  </si>
  <si>
    <t>Remark</t>
  </si>
  <si>
    <t>Deduction</t>
  </si>
  <si>
    <t>Net Pay</t>
  </si>
  <si>
    <t>Present (Attendance)</t>
  </si>
  <si>
    <t>DOJ</t>
  </si>
  <si>
    <t>Total Svc
Yrs</t>
  </si>
  <si>
    <t>Remarks</t>
  </si>
  <si>
    <t>Basic</t>
  </si>
  <si>
    <t>Gratuity</t>
  </si>
  <si>
    <t>Total Leave yrs</t>
  </si>
  <si>
    <t>A. Leave</t>
  </si>
  <si>
    <t>Security Money</t>
  </si>
  <si>
    <t>Total</t>
  </si>
  <si>
    <t>01</t>
  </si>
  <si>
    <t>03.04.2019</t>
  </si>
  <si>
    <t>Red</t>
  </si>
  <si>
    <t>02</t>
  </si>
  <si>
    <t>04.10.2015</t>
  </si>
  <si>
    <t xml:space="preserve">Security Section </t>
  </si>
  <si>
    <t>03</t>
  </si>
  <si>
    <t>Security Guard</t>
  </si>
  <si>
    <t>18.11.2014</t>
  </si>
  <si>
    <t>04</t>
  </si>
  <si>
    <t xml:space="preserve">Hall Management </t>
  </si>
  <si>
    <t>05</t>
  </si>
  <si>
    <t>16.09.2019</t>
  </si>
  <si>
    <t>06</t>
  </si>
  <si>
    <t>Waiter</t>
  </si>
  <si>
    <t>07</t>
  </si>
  <si>
    <t>08</t>
  </si>
  <si>
    <t>Cleaner</t>
  </si>
  <si>
    <t>09</t>
  </si>
  <si>
    <t xml:space="preserve">Restaurant /  Member's Dining </t>
  </si>
  <si>
    <t>10</t>
  </si>
  <si>
    <t>26.06.2019</t>
  </si>
  <si>
    <t>2.1 yrs</t>
  </si>
  <si>
    <t>11</t>
  </si>
  <si>
    <t>12</t>
  </si>
  <si>
    <t xml:space="preserve">Catering </t>
  </si>
  <si>
    <t>01.01.2008</t>
  </si>
  <si>
    <t xml:space="preserve">Maintenance / Janitor Section </t>
  </si>
  <si>
    <t>Total:</t>
  </si>
  <si>
    <t>Md. Anwar Hossain</t>
  </si>
  <si>
    <t>29.09.2005</t>
  </si>
  <si>
    <t>15.11 yrs</t>
  </si>
  <si>
    <t>Jui Rani Das</t>
  </si>
  <si>
    <t>Cleaner (Sports)</t>
  </si>
  <si>
    <t>15.05.2018</t>
  </si>
  <si>
    <t>3.3 yrs</t>
  </si>
  <si>
    <t>Abdul Jabbar Chowdhury</t>
  </si>
  <si>
    <t>Sy Guard</t>
  </si>
  <si>
    <t>01.04.2008</t>
  </si>
  <si>
    <t>13.7 yrs</t>
  </si>
  <si>
    <t>Md. Humayun Kabir</t>
  </si>
  <si>
    <t>01.09.2006</t>
  </si>
  <si>
    <t>15 yrs</t>
  </si>
  <si>
    <t>Sgt. Md. Majharul Islam</t>
  </si>
  <si>
    <t>Security Supervisor</t>
  </si>
  <si>
    <t>Md. Aslam Hossain</t>
  </si>
  <si>
    <t>Md Abul Kalam Azad</t>
  </si>
  <si>
    <t>01.08.2007</t>
  </si>
  <si>
    <t>01.05.2005</t>
  </si>
  <si>
    <t>MD. SHAMIM MIAH</t>
  </si>
  <si>
    <t>IT (Executive)</t>
  </si>
  <si>
    <t>IT</t>
  </si>
  <si>
    <t>01.10.2020</t>
  </si>
  <si>
    <t>Pinto Gomes</t>
  </si>
  <si>
    <t>Electric Foreman</t>
  </si>
  <si>
    <t>Technical</t>
  </si>
  <si>
    <t>01.12.1998</t>
  </si>
  <si>
    <t>Beverage</t>
  </si>
  <si>
    <t>Md. Azmal Hossain</t>
  </si>
  <si>
    <t>Sr. Waiter</t>
  </si>
  <si>
    <t>01.04.2000</t>
  </si>
  <si>
    <t>Md. Zinder Ali</t>
  </si>
  <si>
    <t>Maintenance Supervisor</t>
  </si>
  <si>
    <t xml:space="preserve">Md. Sarwar Hossain </t>
  </si>
  <si>
    <t>Shakil Ahmed</t>
  </si>
  <si>
    <t>Md. Miraz Hossain</t>
  </si>
  <si>
    <t>Md. Khusbur Ali</t>
  </si>
  <si>
    <t>Cook</t>
  </si>
  <si>
    <t>03.10.2017</t>
  </si>
  <si>
    <t>Md. Lokman Hossain</t>
  </si>
  <si>
    <t>Asst. Cook</t>
  </si>
  <si>
    <t>29.09.2007</t>
  </si>
  <si>
    <t>14.1 yrs</t>
  </si>
  <si>
    <t>14.3 yrs</t>
  </si>
  <si>
    <t>16.6 yrs</t>
  </si>
  <si>
    <t>1.1 yrs</t>
  </si>
  <si>
    <t>22.11 yrs</t>
  </si>
  <si>
    <t>21.7 yrs</t>
  </si>
  <si>
    <t>16.1 yrs</t>
  </si>
  <si>
    <t>4 yrs</t>
  </si>
  <si>
    <t>Terminated Employees</t>
  </si>
  <si>
    <t>Appointment Wise Employee List (May 2021)</t>
  </si>
  <si>
    <t>Sl No</t>
  </si>
  <si>
    <t>Dept. Sl No</t>
  </si>
  <si>
    <t>Post/Grade</t>
  </si>
  <si>
    <t>DOB</t>
  </si>
  <si>
    <t xml:space="preserve">Type </t>
  </si>
  <si>
    <t>Education</t>
  </si>
  <si>
    <t xml:space="preserve">Career Summary </t>
  </si>
  <si>
    <t>Basic Pay</t>
  </si>
  <si>
    <t xml:space="preserve">Pay </t>
  </si>
  <si>
    <t xml:space="preserve">Remarks </t>
  </si>
  <si>
    <t>Contact Number</t>
  </si>
  <si>
    <t>Total Application Received</t>
  </si>
  <si>
    <t>As per Earlier service rule</t>
  </si>
  <si>
    <t>As per HR Policy</t>
  </si>
  <si>
    <t>New HR Policy</t>
  </si>
  <si>
    <t>Chairman’s Office (2)</t>
  </si>
  <si>
    <t>Md.Monjurul Alam (Choyan)</t>
  </si>
  <si>
    <t>Office Orderly</t>
  </si>
  <si>
    <t>Peon</t>
  </si>
  <si>
    <t>09.01.1993</t>
  </si>
  <si>
    <t>01.12.2011</t>
  </si>
  <si>
    <t>Temporary</t>
  </si>
  <si>
    <t>BA</t>
  </si>
  <si>
    <t xml:space="preserve">1. Started Career with Raowa - 8 years running </t>
  </si>
  <si>
    <t xml:space="preserve">recruited as Waiter </t>
  </si>
  <si>
    <t>0 1735510512
0 1873510512</t>
  </si>
  <si>
    <t>COO/Sr GM’s Office (6)</t>
  </si>
  <si>
    <t xml:space="preserve">WO Shahdat Hossain </t>
  </si>
  <si>
    <t>Supervising Staff (Secretariate) S8</t>
  </si>
  <si>
    <t>Supervisor (RO)</t>
  </si>
  <si>
    <t>30.06.2019</t>
  </si>
  <si>
    <t>18.09.2019</t>
  </si>
  <si>
    <t>BSS, MGDS,PGDHRM,
LLB (P)</t>
  </si>
  <si>
    <t>1. 30 years Service in Bangladesh Army.</t>
  </si>
  <si>
    <t>Sgt Md. Shahajahan Siraj</t>
  </si>
  <si>
    <t xml:space="preserve">Office Asst. </t>
  </si>
  <si>
    <t xml:space="preserve">A/Supervisor(MSC) </t>
  </si>
  <si>
    <t>01.11.1976</t>
  </si>
  <si>
    <t>26.05.2018</t>
  </si>
  <si>
    <t>HSC</t>
  </si>
  <si>
    <t xml:space="preserve">1. Served at Bangladesh Army- 25 years </t>
  </si>
  <si>
    <t>0 171521999</t>
  </si>
  <si>
    <t>Md.Tahur Ali</t>
  </si>
  <si>
    <t>Office Assistant</t>
  </si>
  <si>
    <t>A/Supervisor (Registry)</t>
  </si>
  <si>
    <t>19.08.1973</t>
  </si>
  <si>
    <t>13.03.2014</t>
  </si>
  <si>
    <t>Served at Bangladesh Amry as Snk Clark 21 years</t>
  </si>
  <si>
    <t>0 1716788877</t>
  </si>
  <si>
    <t>Admin, Security&amp; HR (ASH)</t>
  </si>
  <si>
    <t>Md.Shameem Ahmed</t>
  </si>
  <si>
    <t>10.05.1991</t>
  </si>
  <si>
    <t>13.08.2015</t>
  </si>
  <si>
    <t>SSC</t>
  </si>
  <si>
    <t>1. 4 years in a shop</t>
  </si>
  <si>
    <t>0 1673846461</t>
  </si>
  <si>
    <t xml:space="preserve">HR &amp; Admin Sec </t>
  </si>
  <si>
    <t>Md. Mostofa Zaman</t>
  </si>
  <si>
    <t>Executive Coordination</t>
  </si>
  <si>
    <t xml:space="preserve">Sr. Executive, HR </t>
  </si>
  <si>
    <t>01.03.1991</t>
  </si>
  <si>
    <t>01.06.2017</t>
  </si>
  <si>
    <t>MA Final Semister</t>
  </si>
  <si>
    <t>1. 10 years  in NGO &amp; Pvt Company</t>
  </si>
  <si>
    <t>0 1724869972</t>
  </si>
  <si>
    <t>Md. Masum Billah</t>
  </si>
  <si>
    <t>DR
 S2</t>
  </si>
  <si>
    <t>Drivers</t>
  </si>
  <si>
    <t>15.06.1995</t>
  </si>
  <si>
    <t>06.07.2019</t>
  </si>
  <si>
    <t>1. Sebec Electronics as Asst. Store Man for 1 year</t>
  </si>
  <si>
    <t>01726462758</t>
  </si>
  <si>
    <t>Md. Abdullah Mia</t>
  </si>
  <si>
    <t>DR</t>
  </si>
  <si>
    <t>17.06.1987</t>
  </si>
  <si>
    <t>01.03.2020</t>
  </si>
  <si>
    <t>Contractual</t>
  </si>
  <si>
    <t>Sgt Md Shajahan</t>
  </si>
  <si>
    <t>Driver  
S2</t>
  </si>
  <si>
    <t>Driver</t>
  </si>
  <si>
    <t>01.03.1974</t>
  </si>
  <si>
    <t>13.10.2020</t>
  </si>
  <si>
    <t xml:space="preserve"> 0 1716599390
0 1940090405</t>
  </si>
  <si>
    <t>Md. Maruf Shikh</t>
  </si>
  <si>
    <t>Sgt. Md. Mursalin</t>
  </si>
  <si>
    <t>S 6</t>
  </si>
  <si>
    <r>
      <t xml:space="preserve">Super (Sy] </t>
    </r>
    <r>
      <rPr>
        <b/>
        <sz val="7"/>
        <color rgb="FFFF0000"/>
        <rFont val="Calibri"/>
        <family val="2"/>
        <scheme val="minor"/>
      </rPr>
      <t>S</t>
    </r>
  </si>
  <si>
    <t>05.12.1963</t>
  </si>
  <si>
    <t>01.01.2011</t>
  </si>
  <si>
    <t>1.  8 Years in a Private company 
2. Served at Bangladesh Army - 21 years</t>
  </si>
  <si>
    <t>0 1716768382</t>
  </si>
  <si>
    <r>
      <t xml:space="preserve">Super (Sy] </t>
    </r>
    <r>
      <rPr>
        <b/>
        <sz val="7"/>
        <color theme="1"/>
        <rFont val="Calibri"/>
        <family val="2"/>
        <scheme val="minor"/>
      </rPr>
      <t>S</t>
    </r>
  </si>
  <si>
    <t>01.03.1963</t>
  </si>
  <si>
    <t>1. 11 Years at RAOWA
2. Served at Bangladesh Army - 21 years</t>
  </si>
  <si>
    <t>0 01813926511</t>
  </si>
  <si>
    <t>13</t>
  </si>
  <si>
    <t>Sgt Md Abdul Kader (Retd)</t>
  </si>
  <si>
    <t>20.04.1963</t>
  </si>
  <si>
    <t>08.07.2018</t>
  </si>
  <si>
    <t>Cl-VIII</t>
  </si>
  <si>
    <t>1. Served at Bangladesh Army - 22 years</t>
  </si>
  <si>
    <t>0 1755022023</t>
  </si>
  <si>
    <t>14</t>
  </si>
  <si>
    <t xml:space="preserve">Sgt. Md. Zillur Rahman </t>
  </si>
  <si>
    <t>01.06.1974</t>
  </si>
  <si>
    <t>09.10.2017</t>
  </si>
  <si>
    <t xml:space="preserve">Regular </t>
  </si>
  <si>
    <t>1.  1 Years in a Pvt Company 
2. Served at Bangladesh Army - 24 years</t>
  </si>
  <si>
    <t>0 1772094638</t>
  </si>
  <si>
    <t>15</t>
  </si>
  <si>
    <t>Md. Zakir Hossain</t>
  </si>
  <si>
    <t>S 2</t>
  </si>
  <si>
    <t xml:space="preserve">Security Guards </t>
  </si>
  <si>
    <t>09.07.1973</t>
  </si>
  <si>
    <t>01.01.1998</t>
  </si>
  <si>
    <t>Cl -Viii</t>
  </si>
  <si>
    <t>1. Served at Bangladesh Ansar - 3 years</t>
  </si>
  <si>
    <t xml:space="preserve">10 years </t>
  </si>
  <si>
    <t>0 1720033338</t>
  </si>
  <si>
    <t>16</t>
  </si>
  <si>
    <t>Md. Sanwar Hossain</t>
  </si>
  <si>
    <t>15.03.1964</t>
  </si>
  <si>
    <t xml:space="preserve">1. Working with RAOWA for 28 Years </t>
  </si>
  <si>
    <t xml:space="preserve">10 Years </t>
  </si>
  <si>
    <t>0 1799920735</t>
  </si>
  <si>
    <t>17</t>
  </si>
  <si>
    <t>05.10.1982</t>
  </si>
  <si>
    <t xml:space="preserve">1. Worked as a Sy Guard At Benapol for 2 Years </t>
  </si>
  <si>
    <t>0 1754578297</t>
  </si>
  <si>
    <t>18</t>
  </si>
  <si>
    <t>09.04.1970</t>
  </si>
  <si>
    <t xml:space="preserve">1. Working with RAOWA for 13 Years </t>
  </si>
  <si>
    <t>0 1885810779</t>
  </si>
  <si>
    <t>19</t>
  </si>
  <si>
    <t>Md.Khalilur Rahman</t>
  </si>
  <si>
    <t>09.09.1982</t>
  </si>
  <si>
    <t>01.08.2015</t>
  </si>
  <si>
    <t xml:space="preserve">1. Working with RAOWA for 3 Years </t>
  </si>
  <si>
    <t>0  1830761035</t>
  </si>
  <si>
    <t>20</t>
  </si>
  <si>
    <t>Md.Mokaddas</t>
  </si>
  <si>
    <t>30.12.1993</t>
  </si>
  <si>
    <t>03.09.2016</t>
  </si>
  <si>
    <t xml:space="preserve">1. Working with RAOWA for 2 Years </t>
  </si>
  <si>
    <t>0 1628923497</t>
  </si>
  <si>
    <t>21</t>
  </si>
  <si>
    <t>Plaban Hazang</t>
  </si>
  <si>
    <t>10.11.1995</t>
  </si>
  <si>
    <t>05.09.2016</t>
  </si>
  <si>
    <t xml:space="preserve">1. Worked as a Sy Guard At G4S for 1 Year </t>
  </si>
  <si>
    <t>0 1794761199</t>
  </si>
  <si>
    <t>22</t>
  </si>
  <si>
    <t>Md. Abdur Rahim</t>
  </si>
  <si>
    <t>03.02.1995</t>
  </si>
  <si>
    <t>08.10.2017</t>
  </si>
  <si>
    <t>Cl-V</t>
  </si>
  <si>
    <t xml:space="preserve">1. Worked as a Sy Guard At G4S for 2 Years </t>
  </si>
  <si>
    <t>0 1785585936</t>
  </si>
  <si>
    <t>23</t>
  </si>
  <si>
    <t>Md Solayman Ali</t>
  </si>
  <si>
    <t>12.09.1997</t>
  </si>
  <si>
    <t>01.07.2018</t>
  </si>
  <si>
    <t xml:space="preserve">1. Worked as a Sales Man At a Pvt Company for 1 Year </t>
  </si>
  <si>
    <t>06 mnt probation</t>
  </si>
  <si>
    <t>0 1789758480</t>
  </si>
  <si>
    <t>24</t>
  </si>
  <si>
    <t>Md Shahdat Hossain</t>
  </si>
  <si>
    <t>Security Guard
(S2)</t>
  </si>
  <si>
    <t>03.04.1997</t>
  </si>
  <si>
    <t>01.07.2019</t>
  </si>
  <si>
    <t xml:space="preserve">1. Started Career with RAOWA </t>
  </si>
  <si>
    <t>0 1645975641</t>
  </si>
  <si>
    <t>25</t>
  </si>
  <si>
    <t>Md Tofazzal Hossain</t>
  </si>
  <si>
    <t>21.10.1981</t>
  </si>
  <si>
    <t>10.07.2018</t>
  </si>
  <si>
    <t xml:space="preserve">1. Worked as a Sy Guard At G4S for 5 Years </t>
  </si>
  <si>
    <t>0 1710665694</t>
  </si>
  <si>
    <t>26</t>
  </si>
  <si>
    <t>Mohammad Mojammel Hossain</t>
  </si>
  <si>
    <t>10.08.1985</t>
  </si>
  <si>
    <t>22.09.2018</t>
  </si>
  <si>
    <t xml:space="preserve">1. Served as Snk at BDR - 10 Years </t>
  </si>
  <si>
    <t>0 1928484351
0 1977484351</t>
  </si>
  <si>
    <t>27</t>
  </si>
  <si>
    <t>Md. Nur Islam</t>
  </si>
  <si>
    <t>10.06.1998</t>
  </si>
  <si>
    <t>19.09.2018</t>
  </si>
  <si>
    <t xml:space="preserve">1. Worked as a Sy Guard At House for 2 Years </t>
  </si>
  <si>
    <t>0 1621019872</t>
  </si>
  <si>
    <t>28</t>
  </si>
  <si>
    <t>Md. Najim</t>
  </si>
  <si>
    <t>03.01.1990</t>
  </si>
  <si>
    <t>Cl-Viii</t>
  </si>
  <si>
    <t>1. Worked as a Sy Guard in Pvt Company for 8 years</t>
  </si>
  <si>
    <t>0 1714833549</t>
  </si>
  <si>
    <t>29</t>
  </si>
  <si>
    <t>Md. Nur Alam Kazi</t>
  </si>
  <si>
    <t>15.05.1997</t>
  </si>
  <si>
    <t>1. Worked as a Sy Guard in Pvt Company for 1 year</t>
  </si>
  <si>
    <t>0 1783916511</t>
  </si>
  <si>
    <t>30</t>
  </si>
  <si>
    <t xml:space="preserve">Md Yakub Ali </t>
  </si>
  <si>
    <t>12.02.1988</t>
  </si>
  <si>
    <t>1. Worked as Sy Guard at various orgnizations.</t>
  </si>
  <si>
    <t>0 1790889753</t>
  </si>
  <si>
    <t>31</t>
  </si>
  <si>
    <t xml:space="preserve">Md. Mizan </t>
  </si>
  <si>
    <t>09.09.1990</t>
  </si>
  <si>
    <t>1. Worked as a Sy Guard in Pvt Company for 9 years</t>
  </si>
  <si>
    <t>0 1726700864</t>
  </si>
  <si>
    <t>32</t>
  </si>
  <si>
    <t>Md. Faruk Mridha (Jahir)</t>
  </si>
  <si>
    <t>10.03.1972</t>
  </si>
  <si>
    <t>0 1710154423</t>
  </si>
  <si>
    <t>33</t>
  </si>
  <si>
    <t xml:space="preserve">Md. Mominur Rahman </t>
  </si>
  <si>
    <t>02.11.1990</t>
  </si>
  <si>
    <t xml:space="preserve">1. Worked as Sy Guard at G4S for 3 years </t>
  </si>
  <si>
    <t>0 1762033389</t>
  </si>
  <si>
    <t>34</t>
  </si>
  <si>
    <t>Md. Faisal Hossain</t>
  </si>
  <si>
    <t>01.01.2020</t>
  </si>
  <si>
    <t>BSS</t>
  </si>
  <si>
    <t>35</t>
  </si>
  <si>
    <t>Md. Iqbal Hossain</t>
  </si>
  <si>
    <t>23.08.1997</t>
  </si>
  <si>
    <t>IT [1]</t>
  </si>
  <si>
    <t>36</t>
  </si>
  <si>
    <t>Executive, IT (E2)</t>
  </si>
  <si>
    <t>01.01.1994</t>
  </si>
  <si>
    <t>MSc in CSE</t>
  </si>
  <si>
    <t xml:space="preserve">1. Executive - IT - SQ Marcom Ltd
2. IT &amp; Support Engineer - AdaSoft International Ltd
3. Trainee Executive - Versorium IT Ltd.
</t>
  </si>
  <si>
    <t>01511752829
01961752829</t>
  </si>
  <si>
    <t xml:space="preserve">Procurement Sec </t>
  </si>
  <si>
    <t>37</t>
  </si>
  <si>
    <t>Sgt Md. Zakir Hossain Mollah</t>
  </si>
  <si>
    <t>Executive (Proc)</t>
  </si>
  <si>
    <t>28.03.1966</t>
  </si>
  <si>
    <t>38</t>
  </si>
  <si>
    <t>Sgt Md. Wahidul Haque Mridha</t>
  </si>
  <si>
    <t>Supervisor (Proc)</t>
  </si>
  <si>
    <t>01.01.1976</t>
  </si>
  <si>
    <t xml:space="preserve">Front Desk </t>
  </si>
  <si>
    <t>39</t>
  </si>
  <si>
    <t>Md. Amin Uddin</t>
  </si>
  <si>
    <t>Executive - Front Desk</t>
  </si>
  <si>
    <t>S 4</t>
  </si>
  <si>
    <t>Jr Super (FD)</t>
  </si>
  <si>
    <t>09.12.0991</t>
  </si>
  <si>
    <t>07.04.2012</t>
  </si>
  <si>
    <t>Diploma</t>
  </si>
  <si>
    <t xml:space="preserve">1. 2 years in Garments Company as Receptionist 
</t>
  </si>
  <si>
    <t>0 1674800861</t>
  </si>
  <si>
    <t>40</t>
  </si>
  <si>
    <t>Md.Toyebur Rahman</t>
  </si>
  <si>
    <t>23.04.1994</t>
  </si>
  <si>
    <t>01.11.2016</t>
  </si>
  <si>
    <t xml:space="preserve">1. 4 years in Manufacturing Company &amp; NGO as Receptionist 
</t>
  </si>
  <si>
    <t>0 925545607</t>
  </si>
  <si>
    <t>41</t>
  </si>
  <si>
    <t xml:space="preserve">Mahbuba Khatun </t>
  </si>
  <si>
    <t>Executive - Front Desk
(S4)</t>
  </si>
  <si>
    <t>09.04.2019</t>
  </si>
  <si>
    <t>MSS</t>
  </si>
  <si>
    <t>1. 07 years of Exp in Pvt Company as Front Desk Executive</t>
  </si>
  <si>
    <t>0 1710892618</t>
  </si>
  <si>
    <t xml:space="preserve">Asset Mgt (AM) Sec </t>
  </si>
  <si>
    <t>42</t>
  </si>
  <si>
    <t>Md. Nurunnabi</t>
  </si>
  <si>
    <t>Store Keeper</t>
  </si>
  <si>
    <t>S 3</t>
  </si>
  <si>
    <t>01.09.1962</t>
  </si>
  <si>
    <t>01.06.2008</t>
  </si>
  <si>
    <t>1. Worked at Various Pvt Company  for 23 years</t>
  </si>
  <si>
    <t>43</t>
  </si>
  <si>
    <t>Mohd. Abul Bashar</t>
  </si>
  <si>
    <t>Care Taker (Cox's Bazar Land)</t>
  </si>
  <si>
    <t>S 1</t>
  </si>
  <si>
    <t>25.09.1970</t>
  </si>
  <si>
    <t>01.07.2009</t>
  </si>
  <si>
    <t>Kamil (BA)</t>
  </si>
  <si>
    <t xml:space="preserve">1. Started Career with Raowa - 9 years running </t>
  </si>
  <si>
    <t xml:space="preserve">Hand Writtem appt ltr </t>
  </si>
  <si>
    <t>0 1815673721</t>
  </si>
  <si>
    <t xml:space="preserve">Technical </t>
  </si>
  <si>
    <t>44</t>
  </si>
  <si>
    <t>Sheikh Akhter Hossain</t>
  </si>
  <si>
    <t>Project Engr (Electrical)</t>
  </si>
  <si>
    <t>Project Engr</t>
  </si>
  <si>
    <t>01.11.1951</t>
  </si>
  <si>
    <t>Diploma in Elec</t>
  </si>
  <si>
    <t>Served at Bangladesh Amry - MES - 35 years</t>
  </si>
  <si>
    <t>0 1819147466</t>
  </si>
  <si>
    <t>45</t>
  </si>
  <si>
    <t>06.09.1976</t>
  </si>
  <si>
    <t>1. Worked as Electrician at various shop for 5 years</t>
  </si>
  <si>
    <t xml:space="preserve">no appoinment letter </t>
  </si>
  <si>
    <t>0 1715982460</t>
  </si>
  <si>
    <t>46</t>
  </si>
  <si>
    <t>Md.Zakir Hossain</t>
  </si>
  <si>
    <t>Electrician</t>
  </si>
  <si>
    <t xml:space="preserve">Asst Electrician </t>
  </si>
  <si>
    <t>20.08.1981</t>
  </si>
  <si>
    <t>11.12.2013</t>
  </si>
  <si>
    <t xml:space="preserve">1. Worked as Electrical Technical and Electrician at Bangladesh and Dubai more then 18 years </t>
  </si>
  <si>
    <t>0 1716282574</t>
  </si>
  <si>
    <t>47</t>
  </si>
  <si>
    <t>Md.Tofazzal Hossain</t>
  </si>
  <si>
    <t>26.06.1983</t>
  </si>
  <si>
    <t xml:space="preserve">1. Worked as Electrician at A Power System Company. </t>
  </si>
  <si>
    <t>0 1923513692</t>
  </si>
  <si>
    <t>48</t>
  </si>
  <si>
    <t>Md.Rashel Hawlader</t>
  </si>
  <si>
    <t>Plamber &amp;pipe fiter</t>
  </si>
  <si>
    <t>Plumber &amp; Pipe Fitter</t>
  </si>
  <si>
    <t>12.05.1988</t>
  </si>
  <si>
    <t>09.12.2015</t>
  </si>
  <si>
    <t xml:space="preserve">1. Worked as Plamber at various Pvt Company for 9 Years. </t>
  </si>
  <si>
    <t>0 1731253286</t>
  </si>
  <si>
    <t>49</t>
  </si>
  <si>
    <t>Md. Mizanur Rahman</t>
  </si>
  <si>
    <t>Asst. Electrician</t>
  </si>
  <si>
    <t>02.01.1984</t>
  </si>
  <si>
    <t xml:space="preserve">1. Worked as Electrician at CSD for 3 Years  </t>
  </si>
  <si>
    <t>0 1913214356</t>
  </si>
  <si>
    <t>50</t>
  </si>
  <si>
    <t>Md.Shohidul Islam</t>
  </si>
  <si>
    <t>Lift Man</t>
  </si>
  <si>
    <t>Lift man</t>
  </si>
  <si>
    <t>02.06.1976</t>
  </si>
  <si>
    <t>01.04.2014</t>
  </si>
  <si>
    <t>Dakhil</t>
  </si>
  <si>
    <t xml:space="preserve">1. Worked as Lift Man at Maan BD for 6 Years  </t>
  </si>
  <si>
    <t>0 1783225431</t>
  </si>
  <si>
    <t>51</t>
  </si>
  <si>
    <t>Md.Taher Miah</t>
  </si>
  <si>
    <t>Liftman</t>
  </si>
  <si>
    <t>05.01.1995</t>
  </si>
  <si>
    <t xml:space="preserve">1. Worked as Lift Man at Aziz &amp; Co for 4 Years  </t>
  </si>
  <si>
    <t>0 1726374048</t>
  </si>
  <si>
    <t>52</t>
  </si>
  <si>
    <t>Md. Saiful Islam</t>
  </si>
  <si>
    <t>Sound System Operator</t>
  </si>
  <si>
    <t>Sound Sys Operator</t>
  </si>
  <si>
    <t>25.07.1988</t>
  </si>
  <si>
    <t>12..04.2018</t>
  </si>
  <si>
    <t xml:space="preserve">1. Worked at a production company for 3 Years  </t>
  </si>
  <si>
    <t>0 1833090913</t>
  </si>
  <si>
    <t xml:space="preserve">Prayer Room </t>
  </si>
  <si>
    <t>53</t>
  </si>
  <si>
    <t xml:space="preserve">Maolana Md. Imamuddin </t>
  </si>
  <si>
    <t xml:space="preserve">IMAM </t>
  </si>
  <si>
    <t>01.01.1985</t>
  </si>
  <si>
    <t>01.09.2018</t>
  </si>
  <si>
    <t>Daowra Haditt</t>
  </si>
  <si>
    <t xml:space="preserve">1. 5 Years in a Event Company as Imam </t>
  </si>
  <si>
    <t>0 1731757132</t>
  </si>
  <si>
    <t>54</t>
  </si>
  <si>
    <t xml:space="preserve">Moyazzin </t>
  </si>
  <si>
    <t>27 para Hafez</t>
  </si>
  <si>
    <t>0 1712046461</t>
  </si>
  <si>
    <t>Operations</t>
  </si>
  <si>
    <t>55</t>
  </si>
  <si>
    <t>Md. Idrish Miah</t>
  </si>
  <si>
    <t xml:space="preserve">Office Superintendent </t>
  </si>
  <si>
    <t>Super (Ops)</t>
  </si>
  <si>
    <t>17.05.1968</t>
  </si>
  <si>
    <t xml:space="preserve">1. 8 Years at RAOWA 
2. Served at Bangladesh Army- 25 years </t>
  </si>
  <si>
    <t>0 1816413679</t>
  </si>
  <si>
    <t>56</t>
  </si>
  <si>
    <t>Rashed Ahmed</t>
  </si>
  <si>
    <t>20.08.2020</t>
  </si>
  <si>
    <t>RAOWA Event Mgt Sec</t>
  </si>
  <si>
    <t xml:space="preserve">RAOWA Research &amp; Study Forum </t>
  </si>
  <si>
    <t>57</t>
  </si>
  <si>
    <t xml:space="preserve">Md Tazul Islam </t>
  </si>
  <si>
    <t xml:space="preserve">Computer Composer
S3 </t>
  </si>
  <si>
    <t xml:space="preserve">Exec (RRSF) </t>
  </si>
  <si>
    <t>20.08.1995</t>
  </si>
  <si>
    <t>15.04.2019</t>
  </si>
  <si>
    <t xml:space="preserve">Temporary </t>
  </si>
  <si>
    <t xml:space="preserve">1. 04 y Experience as book Composer </t>
  </si>
  <si>
    <t xml:space="preserve">Meetings &amp; Archive (MA) Sec </t>
  </si>
  <si>
    <t>Games &amp; Sports (GS)</t>
  </si>
  <si>
    <t>58</t>
  </si>
  <si>
    <t>Jinat Alam</t>
  </si>
  <si>
    <t>Trainer Gym</t>
  </si>
  <si>
    <t>Trainer</t>
  </si>
  <si>
    <t>01.01.2002</t>
  </si>
  <si>
    <t>04.07.2018</t>
  </si>
  <si>
    <t xml:space="preserve">1. Worked as a Trainer in a Gym for 6 months </t>
  </si>
  <si>
    <t>0 1758656666</t>
  </si>
  <si>
    <t>59</t>
  </si>
  <si>
    <t>Shantona Akter</t>
  </si>
  <si>
    <t>07.02.1991</t>
  </si>
  <si>
    <t>20.11.2015</t>
  </si>
  <si>
    <t xml:space="preserve">1. Worked as a swimming Trainer in various company for 10 years  </t>
  </si>
  <si>
    <t>0 1670451888</t>
  </si>
  <si>
    <t>60</t>
  </si>
  <si>
    <t>Md Rajibul Islam</t>
  </si>
  <si>
    <t>Trainer
(S3)</t>
  </si>
  <si>
    <t>08.03.1997</t>
  </si>
  <si>
    <t>16.05.2019</t>
  </si>
  <si>
    <t xml:space="preserve">1. 04 years experience as swimming trainer &amp; coach at district area. </t>
  </si>
  <si>
    <t>0 1981934193</t>
  </si>
  <si>
    <t>61</t>
  </si>
  <si>
    <t>Md Zahirul Islam</t>
  </si>
  <si>
    <t>Super</t>
  </si>
  <si>
    <t>09.07.1981</t>
  </si>
  <si>
    <t xml:space="preserve">1. 12 Years experience as instructor at different Gym in Dhaka </t>
  </si>
  <si>
    <t>0 1717013765</t>
  </si>
  <si>
    <t>62</t>
  </si>
  <si>
    <t>Md. Waliur Rahman</t>
  </si>
  <si>
    <t xml:space="preserve">Incharge - Billiard </t>
  </si>
  <si>
    <t>05.05.1988</t>
  </si>
  <si>
    <t>Cl-IX</t>
  </si>
  <si>
    <t>1. Worked as Waiter for 2 years</t>
  </si>
  <si>
    <t>0 1923473214</t>
  </si>
  <si>
    <t xml:space="preserve">Welfare Mgt (WM) Sec </t>
  </si>
  <si>
    <t xml:space="preserve">Mem Support Center (MSC) </t>
  </si>
  <si>
    <t>63</t>
  </si>
  <si>
    <t xml:space="preserve">Sgt Md Tajul Islam </t>
  </si>
  <si>
    <t>Supervising Staff (Registry) 
S7</t>
  </si>
  <si>
    <t>Super (MSC)</t>
  </si>
  <si>
    <t>08.10.1975</t>
  </si>
  <si>
    <t>28.08.2019</t>
  </si>
  <si>
    <t>1. 27 years Service in Bangladesh Army.</t>
  </si>
  <si>
    <t>0 1718019004</t>
  </si>
  <si>
    <t xml:space="preserve">Library &amp; Publication (LP) </t>
  </si>
  <si>
    <t>64</t>
  </si>
  <si>
    <t>Ramjan Ali</t>
  </si>
  <si>
    <t>Librarian</t>
  </si>
  <si>
    <t>05.03.2020</t>
  </si>
  <si>
    <t>MA</t>
  </si>
  <si>
    <t>65</t>
  </si>
  <si>
    <t xml:space="preserve">Jesmine Ara </t>
  </si>
  <si>
    <t>Asst Librarian
(S7 )</t>
  </si>
  <si>
    <t>st Librarian</t>
  </si>
  <si>
    <t>23.11.1988</t>
  </si>
  <si>
    <t>01.04.2019</t>
  </si>
  <si>
    <t xml:space="preserve">1. 4 Years exp as Librarian in an NGO </t>
  </si>
  <si>
    <t>0 1996532227</t>
  </si>
  <si>
    <t>66</t>
  </si>
  <si>
    <t>Md. Pabel Bhuiyan</t>
  </si>
  <si>
    <t>Book Binder</t>
  </si>
  <si>
    <t>08.01.1997</t>
  </si>
  <si>
    <t>06.01.2018</t>
  </si>
  <si>
    <t>0 1731379478</t>
  </si>
  <si>
    <t>67</t>
  </si>
  <si>
    <t>Saidul Islam</t>
  </si>
  <si>
    <t>Asst. Library  (M&amp;P)</t>
  </si>
  <si>
    <t>M 3</t>
  </si>
  <si>
    <t>PublMgr</t>
  </si>
  <si>
    <t>01.02.1990</t>
  </si>
  <si>
    <t>17.06.2018</t>
  </si>
  <si>
    <t>1. Worked as a Editor in a publication house for 4 years</t>
  </si>
  <si>
    <t>0 1735006669
0 1827353939</t>
  </si>
  <si>
    <t>68</t>
  </si>
  <si>
    <t xml:space="preserve">Tushar Ahmed Opu </t>
  </si>
  <si>
    <t>Publication Assistant</t>
  </si>
  <si>
    <t>M 1</t>
  </si>
  <si>
    <t>Publ Asst</t>
  </si>
  <si>
    <t>12.12.1993</t>
  </si>
  <si>
    <t>19.11.2018</t>
  </si>
  <si>
    <t>Hon's 4th yr</t>
  </si>
  <si>
    <t xml:space="preserve">1. 6 Years in a publication company </t>
  </si>
  <si>
    <t>0 1798410892
0 1959493904</t>
  </si>
  <si>
    <t>69</t>
  </si>
  <si>
    <t>Md. Ashraful Islam</t>
  </si>
  <si>
    <t>14.04.1997</t>
  </si>
  <si>
    <t>Baverage</t>
  </si>
  <si>
    <t>70</t>
  </si>
  <si>
    <t>Md. Mahmudul Hasan</t>
  </si>
  <si>
    <t>Asst. Bartender</t>
  </si>
  <si>
    <t>05.07.1991</t>
  </si>
  <si>
    <t xml:space="preserve">1. Started career with RAOWA </t>
  </si>
  <si>
    <t>0 1796747909</t>
  </si>
  <si>
    <t>71</t>
  </si>
  <si>
    <t xml:space="preserve">Eliyas raihan </t>
  </si>
  <si>
    <t>Bartender</t>
  </si>
  <si>
    <t>02.02.1993</t>
  </si>
  <si>
    <t>30.11.2017</t>
  </si>
  <si>
    <t xml:space="preserve">1. Worked as Asst Manager, F&amp;B at a Club for 4.5 years </t>
  </si>
  <si>
    <t>0 1707111717</t>
  </si>
  <si>
    <t>72</t>
  </si>
  <si>
    <t>Kaiser Ahmed (Shamim)</t>
  </si>
  <si>
    <t>Receptionist(Bar)</t>
  </si>
  <si>
    <t>Receptionist (Bev)</t>
  </si>
  <si>
    <t>13.12.1978</t>
  </si>
  <si>
    <t>26.03.2008</t>
  </si>
  <si>
    <t xml:space="preserve">1. Worked in Bangladesh Army - 23 Years </t>
  </si>
  <si>
    <t>0 1687388277</t>
  </si>
  <si>
    <t>73</t>
  </si>
  <si>
    <t>Cpl.Md. Belal Hossain Akondo</t>
  </si>
  <si>
    <t>02.09.1971</t>
  </si>
  <si>
    <t>07.11.2017</t>
  </si>
  <si>
    <t xml:space="preserve">1. Worked as Receptionist in various company for 11 years </t>
  </si>
  <si>
    <t>0 1716776583</t>
  </si>
  <si>
    <t>74</t>
  </si>
  <si>
    <t>Waiter (Bev)</t>
  </si>
  <si>
    <t>01.10.1978</t>
  </si>
  <si>
    <t>1. Worked as waiter in a restaurant for 1 year</t>
  </si>
  <si>
    <t>0 1712491329</t>
  </si>
  <si>
    <t>75</t>
  </si>
  <si>
    <t>Md. Abdul Baten</t>
  </si>
  <si>
    <t>05.05.1969</t>
  </si>
  <si>
    <t>01.09.2001</t>
  </si>
  <si>
    <t>1. Worked as waiter in a restaurant for 5 years</t>
  </si>
  <si>
    <t>76</t>
  </si>
  <si>
    <t>Md. Ziaur Rahman</t>
  </si>
  <si>
    <t>03.06.1994</t>
  </si>
  <si>
    <t>0 1917947880</t>
  </si>
  <si>
    <t>77</t>
  </si>
  <si>
    <t>Kazi Tarequl islam</t>
  </si>
  <si>
    <t>05.06.1978</t>
  </si>
  <si>
    <t xml:space="preserve">1. Worked as Supervisor, F&amp;B at a NGO for 4.5 years </t>
  </si>
  <si>
    <t xml:space="preserve">Now working in Catering </t>
  </si>
  <si>
    <t>0 1780313273</t>
  </si>
  <si>
    <t>78</t>
  </si>
  <si>
    <t>Osman Molla Faruque</t>
  </si>
  <si>
    <t>Dish washer</t>
  </si>
  <si>
    <t>Waiter (Food)</t>
  </si>
  <si>
    <t>10.07.1985</t>
  </si>
  <si>
    <t>02.05.2011</t>
  </si>
  <si>
    <t>1. Started Career with RAOWA</t>
  </si>
  <si>
    <t>0 1732873570</t>
  </si>
  <si>
    <t>79</t>
  </si>
  <si>
    <t>Md. Delower Hossain</t>
  </si>
  <si>
    <t>03.01.1983</t>
  </si>
  <si>
    <t>01.11.2008</t>
  </si>
  <si>
    <t>1. Worked as waiter in RISD for 5 years</t>
  </si>
  <si>
    <t>0 1725548650</t>
  </si>
  <si>
    <t>80</t>
  </si>
  <si>
    <t>Md.Sabuj Sheikh</t>
  </si>
  <si>
    <t>Cleaner (Janitor)</t>
  </si>
  <si>
    <t>03.06.1993</t>
  </si>
  <si>
    <t>1. Worked as a Cleaner in a restaurant for 2 years</t>
  </si>
  <si>
    <t xml:space="preserve">0 1942749616 </t>
  </si>
  <si>
    <t>Card room</t>
  </si>
  <si>
    <t>81</t>
  </si>
  <si>
    <t>Md. Ruhul Amin</t>
  </si>
  <si>
    <t>Attendant in Cardroom</t>
  </si>
  <si>
    <t>Attendant (Card)</t>
  </si>
  <si>
    <t>01.07.1970</t>
  </si>
  <si>
    <t>01.11.1993</t>
  </si>
  <si>
    <t xml:space="preserve">No appoinment letter </t>
  </si>
  <si>
    <t>0 1747351659</t>
  </si>
  <si>
    <t>82</t>
  </si>
  <si>
    <t>Md. Baki Billah</t>
  </si>
  <si>
    <t>Waiter (Card)</t>
  </si>
  <si>
    <t>04.03.1965</t>
  </si>
  <si>
    <t>21.06.2008</t>
  </si>
  <si>
    <t>0 1718693541</t>
  </si>
  <si>
    <t>83</t>
  </si>
  <si>
    <t>Md. Al-Mamun</t>
  </si>
  <si>
    <t>05.09.1992</t>
  </si>
  <si>
    <t>07.05.2011</t>
  </si>
  <si>
    <t>Honors</t>
  </si>
  <si>
    <t>0 1719972577</t>
  </si>
  <si>
    <t xml:space="preserve">Accounts &amp; Finance </t>
  </si>
  <si>
    <t>84</t>
  </si>
  <si>
    <t>Md.Shahazan Badsha</t>
  </si>
  <si>
    <t>Manager Finance &amp; Accts</t>
  </si>
  <si>
    <t>M 5</t>
  </si>
  <si>
    <t>Mgr (AF)</t>
  </si>
  <si>
    <t>03.01.1982</t>
  </si>
  <si>
    <t>01.04.2017</t>
  </si>
  <si>
    <t>Masters and CA-CC</t>
  </si>
  <si>
    <t>Professional and Service Experience: Audit firm-5 years and others org. 07 years Manger finance.</t>
  </si>
  <si>
    <t>0 1718960646</t>
  </si>
  <si>
    <t>85</t>
  </si>
  <si>
    <t>SWO (Rtd) Md.Abdul Mannan</t>
  </si>
  <si>
    <t>Accountant</t>
  </si>
  <si>
    <t>Asst Mgr (AF)</t>
  </si>
  <si>
    <t>31.12.1964</t>
  </si>
  <si>
    <t>01.06.2012</t>
  </si>
  <si>
    <t>Graduate</t>
  </si>
  <si>
    <t xml:space="preserve">1. 7 years at RAOWA 
2. Served at Bangladesh Army- 30 years </t>
  </si>
  <si>
    <t>0 1715865270</t>
  </si>
  <si>
    <t>86</t>
  </si>
  <si>
    <t>Md.Sohel Rana</t>
  </si>
  <si>
    <t xml:space="preserve">Asst. Accounts </t>
  </si>
  <si>
    <t xml:space="preserve">Acct Asst  </t>
  </si>
  <si>
    <t>01.02.1993</t>
  </si>
  <si>
    <t xml:space="preserve">1. Started Career with Raowa - 4 years running </t>
  </si>
  <si>
    <t>0 1925356791</t>
  </si>
  <si>
    <t>Facilities Mgt(FM) Dept</t>
  </si>
  <si>
    <t>87</t>
  </si>
  <si>
    <t>A/Super(Janitor)</t>
  </si>
  <si>
    <t>23.03.1954</t>
  </si>
  <si>
    <t xml:space="preserve">1. 13 Years at RAOWA
2. Served at Bangladesh Army- 25 years </t>
  </si>
  <si>
    <t>0 1726869052</t>
  </si>
  <si>
    <t>88</t>
  </si>
  <si>
    <t>Md. Belal Akon</t>
  </si>
  <si>
    <t>Gardener</t>
  </si>
  <si>
    <t xml:space="preserve">Gardener </t>
  </si>
  <si>
    <t>01.05.1989</t>
  </si>
  <si>
    <t>1. Worked as Gardener for 2 years</t>
  </si>
  <si>
    <t>0 1926969881</t>
  </si>
  <si>
    <t>89</t>
  </si>
  <si>
    <t>Md.Fuzilur Hasan Akash</t>
  </si>
  <si>
    <t>01.02.1995</t>
  </si>
  <si>
    <t>01.01.2014</t>
  </si>
  <si>
    <t>0 1705793866</t>
  </si>
  <si>
    <t>90</t>
  </si>
  <si>
    <t>Md.Al Amin Khan</t>
  </si>
  <si>
    <t>14.07.1991</t>
  </si>
  <si>
    <t>0 1740776563</t>
  </si>
  <si>
    <t>91</t>
  </si>
  <si>
    <t>Rumi Akter</t>
  </si>
  <si>
    <t>Clener</t>
  </si>
  <si>
    <t>01.01.1992</t>
  </si>
  <si>
    <t>06.12.2016</t>
  </si>
  <si>
    <t>0 1852335024</t>
  </si>
  <si>
    <t>92</t>
  </si>
  <si>
    <t>Sharmin Akter</t>
  </si>
  <si>
    <t>15.06.1997</t>
  </si>
  <si>
    <t>93</t>
  </si>
  <si>
    <t>05.05.1982</t>
  </si>
  <si>
    <t>0 1727601425</t>
  </si>
  <si>
    <t>94</t>
  </si>
  <si>
    <t>Moinul Islam Rony</t>
  </si>
  <si>
    <t>06.02.1996</t>
  </si>
  <si>
    <t>01.06.2016</t>
  </si>
  <si>
    <t>0 1728612853</t>
  </si>
  <si>
    <t>95</t>
  </si>
  <si>
    <t>Mrs.Aklima</t>
  </si>
  <si>
    <t>11.12.1990</t>
  </si>
  <si>
    <t>02.11.2016</t>
  </si>
  <si>
    <t>0 1794668798</t>
  </si>
  <si>
    <t>96</t>
  </si>
  <si>
    <t>Md Shakil Hossain</t>
  </si>
  <si>
    <t>05.10.2004</t>
  </si>
  <si>
    <t>Cl-VI</t>
  </si>
  <si>
    <t>0 1635490655</t>
  </si>
  <si>
    <t>97</t>
  </si>
  <si>
    <t>MD Liton Gazi</t>
  </si>
  <si>
    <t>14.03.1974</t>
  </si>
  <si>
    <t>22.06.2018</t>
  </si>
  <si>
    <t>0 1728631969</t>
  </si>
  <si>
    <t>98</t>
  </si>
  <si>
    <t xml:space="preserve">Yasin Uddin </t>
  </si>
  <si>
    <t>01.01.1989</t>
  </si>
  <si>
    <t>14.12.2018</t>
  </si>
  <si>
    <t>0 1951603496</t>
  </si>
  <si>
    <t>99</t>
  </si>
  <si>
    <t xml:space="preserve">Md Imran </t>
  </si>
  <si>
    <t>01.01.1997</t>
  </si>
  <si>
    <t>0 1749437328</t>
  </si>
  <si>
    <t>100</t>
  </si>
  <si>
    <t>SWO Shah Mohammad Shahinul Islam (Retd)</t>
  </si>
  <si>
    <t>Manager, Hall
S8</t>
  </si>
  <si>
    <t>Sr Super (Hall)</t>
  </si>
  <si>
    <t>06.06.1971</t>
  </si>
  <si>
    <t>15.07.19</t>
  </si>
  <si>
    <t xml:space="preserve">Served at Bangladesh Army- 31 years </t>
  </si>
  <si>
    <t>101</t>
  </si>
  <si>
    <t>Sgt Md Iqbal Hossain (Retd)</t>
  </si>
  <si>
    <t>Asst. Hall Manager</t>
  </si>
  <si>
    <t>Asst / Jr Super (Hall)</t>
  </si>
  <si>
    <t>05.06.1976</t>
  </si>
  <si>
    <t>Cl-X</t>
  </si>
  <si>
    <t>1. Served at Bangladesh Army - 24 years</t>
  </si>
  <si>
    <t>102</t>
  </si>
  <si>
    <t xml:space="preserve">Cpl Md Amir Hossain </t>
  </si>
  <si>
    <t>Asst Supervising Staff (MSC) 
S7</t>
  </si>
  <si>
    <t xml:space="preserve">Exec / Jr. Exec Booking </t>
  </si>
  <si>
    <t>01.12.1988</t>
  </si>
  <si>
    <t>11.04.2019</t>
  </si>
  <si>
    <t xml:space="preserve">1. 13 Years service in Bangladesh Army </t>
  </si>
  <si>
    <t>103</t>
  </si>
  <si>
    <t>Mohd. Hossain Shahid Khan</t>
  </si>
  <si>
    <t>Supervisor  (Hall Waiter)</t>
  </si>
  <si>
    <t>Asst / Jr Super (M/W)</t>
  </si>
  <si>
    <t>08.01.1975</t>
  </si>
  <si>
    <t>16.07.2019</t>
  </si>
  <si>
    <t>1.  Sahara Airport Hotel Five Star Hotel, 
Riyadh, K.S.A (1992-2001).
2.  Bangabandhu International Conf Centre at Dhaka (2006-2011).</t>
  </si>
  <si>
    <t>0 1670717971</t>
  </si>
  <si>
    <t>104</t>
  </si>
  <si>
    <t>G. M. Roknuzzaman</t>
  </si>
  <si>
    <t>Asst.Exe (Hall Booking, Mkt)</t>
  </si>
  <si>
    <t>31.12.1993</t>
  </si>
  <si>
    <t>09.04.2012</t>
  </si>
  <si>
    <t>MBA</t>
  </si>
  <si>
    <t xml:space="preserve">2. 6 Years experience in different restaurant </t>
  </si>
  <si>
    <t>105</t>
  </si>
  <si>
    <t xml:space="preserve">Reyadul Islam </t>
  </si>
  <si>
    <t xml:space="preserve">Executive Marketing </t>
  </si>
  <si>
    <t>22.10.1998</t>
  </si>
  <si>
    <t>01.01.2019</t>
  </si>
  <si>
    <t>Hon's 3rd yr
(Running)</t>
  </si>
  <si>
    <t>106</t>
  </si>
  <si>
    <t>Josim Uddin</t>
  </si>
  <si>
    <t>Asst. Cleaner Supervisor</t>
  </si>
  <si>
    <t>0 1932847481</t>
  </si>
  <si>
    <t>107</t>
  </si>
  <si>
    <t>Mehedi Hasan Sohag</t>
  </si>
  <si>
    <t>Butler</t>
  </si>
  <si>
    <t>Butler (Hall)</t>
  </si>
  <si>
    <t>02.03.1992</t>
  </si>
  <si>
    <t>1. 7 yrs experience as butler</t>
  </si>
  <si>
    <t>0 1777754050</t>
  </si>
  <si>
    <t>108</t>
  </si>
  <si>
    <t>Ishtiak Ahmed Abir</t>
  </si>
  <si>
    <t xml:space="preserve">Waiter (Hall) </t>
  </si>
  <si>
    <t>16.09.2021</t>
  </si>
  <si>
    <t>Diploma in Engr</t>
  </si>
  <si>
    <t>0 1947585880</t>
  </si>
  <si>
    <t>109</t>
  </si>
  <si>
    <t>0 1872480926</t>
  </si>
  <si>
    <t>110</t>
  </si>
  <si>
    <t>Md. Zahidul Islam</t>
  </si>
  <si>
    <t>0 1724562498</t>
  </si>
  <si>
    <t>111</t>
  </si>
  <si>
    <t>Md. Bokhtiar Rahman</t>
  </si>
  <si>
    <t>0 1795939610</t>
  </si>
  <si>
    <t>112</t>
  </si>
  <si>
    <t>0 1718352776</t>
  </si>
  <si>
    <t>113</t>
  </si>
  <si>
    <t>Md. Yousuf</t>
  </si>
  <si>
    <t>0 1764492171</t>
  </si>
  <si>
    <t>114</t>
  </si>
  <si>
    <t>Md. Zonayed Ahmed</t>
  </si>
  <si>
    <t>0 1838212987</t>
  </si>
  <si>
    <t>115</t>
  </si>
  <si>
    <t>Kazi Md. Suja</t>
  </si>
  <si>
    <t>0 1732624962</t>
  </si>
  <si>
    <t>116</t>
  </si>
  <si>
    <t>Md. Helal Hossain</t>
  </si>
  <si>
    <t>0 1761799135</t>
  </si>
  <si>
    <t>117</t>
  </si>
  <si>
    <t>Md. Shorif Ahmed Jony</t>
  </si>
  <si>
    <t>Eight</t>
  </si>
  <si>
    <t>0 1726723273</t>
  </si>
  <si>
    <t>118</t>
  </si>
  <si>
    <t>Md. Rayhan Khalifa</t>
  </si>
  <si>
    <t>0 1746917875</t>
  </si>
  <si>
    <t>119</t>
  </si>
  <si>
    <t>Enamul Haque Gazi</t>
  </si>
  <si>
    <t>0 1757647428</t>
  </si>
  <si>
    <t>120</t>
  </si>
  <si>
    <t>Naeem Sikder</t>
  </si>
  <si>
    <t>0 1798897389</t>
  </si>
  <si>
    <t>121</t>
  </si>
  <si>
    <t>Md. Titu Mridha</t>
  </si>
  <si>
    <t>0 1736520036</t>
  </si>
  <si>
    <t>122</t>
  </si>
  <si>
    <t>Md. Shahin Howlader</t>
  </si>
  <si>
    <t>0 1791124416</t>
  </si>
  <si>
    <t>123</t>
  </si>
  <si>
    <t>Ripon Chandra Shil</t>
  </si>
  <si>
    <t>0 1774087701</t>
  </si>
  <si>
    <t>124</t>
  </si>
  <si>
    <t>Md. Mehedi Hasan</t>
  </si>
  <si>
    <t>JSC</t>
  </si>
  <si>
    <t>0 1765240387</t>
  </si>
  <si>
    <t>125</t>
  </si>
  <si>
    <t>1</t>
  </si>
  <si>
    <t>Md. Amir Hossain</t>
  </si>
  <si>
    <t>Chef</t>
  </si>
  <si>
    <t>S 5</t>
  </si>
  <si>
    <t>Chef (Restaurant)</t>
  </si>
  <si>
    <t>02.10.1967</t>
  </si>
  <si>
    <t>1. Worked as an computer Operator in a shop for 2 years</t>
  </si>
  <si>
    <t>0 1819024197</t>
  </si>
  <si>
    <t>126</t>
  </si>
  <si>
    <t>2</t>
  </si>
  <si>
    <t>Md. Ali Hossain</t>
  </si>
  <si>
    <t>Asst Chef (Restaurant)</t>
  </si>
  <si>
    <t>08.05.1980</t>
  </si>
  <si>
    <t>01.11.2010</t>
  </si>
  <si>
    <t xml:space="preserve">1. Worked as a Cook, Chef in Bangladesh Navy, Club &amp; Intl Hotels in Bangladesh for 41 Years </t>
  </si>
  <si>
    <t>0 1734731119</t>
  </si>
  <si>
    <t>127</t>
  </si>
  <si>
    <t>3</t>
  </si>
  <si>
    <t>Md. Abul Hossain</t>
  </si>
  <si>
    <t>01.01.1980</t>
  </si>
  <si>
    <t>01.05.2000</t>
  </si>
  <si>
    <t xml:space="preserve">1. Worked as Helper, Cook, Chef at various restaurant and hospitals for 26 years </t>
  </si>
  <si>
    <t>No app ltr but Promotion Ltr</t>
  </si>
  <si>
    <t>0 1917056907</t>
  </si>
  <si>
    <t>128</t>
  </si>
  <si>
    <t>4</t>
  </si>
  <si>
    <t>Pradip kumar das</t>
  </si>
  <si>
    <t>cook</t>
  </si>
  <si>
    <t>03.06.1980</t>
  </si>
  <si>
    <t xml:space="preserve">1. Worked as Asst Cook &amp; Cook in chinese Restaurant for 10 years </t>
  </si>
  <si>
    <t>0 1912420106</t>
  </si>
  <si>
    <t>129</t>
  </si>
  <si>
    <t>5</t>
  </si>
  <si>
    <t>03.04.1969</t>
  </si>
  <si>
    <t xml:space="preserve">1. Worked as Cook Helper in restaurant for 2 years </t>
  </si>
  <si>
    <t>0 1713565797</t>
  </si>
  <si>
    <t>130</t>
  </si>
  <si>
    <t>6</t>
  </si>
  <si>
    <t>Md Nasir Khan</t>
  </si>
  <si>
    <t xml:space="preserve">Cook </t>
  </si>
  <si>
    <t>15.08.1975</t>
  </si>
  <si>
    <t>01.10.2018</t>
  </si>
  <si>
    <t xml:space="preserve">1. Head Cook at Kuwait for 5 years 
2. Served at Bangladesh Army as Snk CooK for 30 Years </t>
  </si>
  <si>
    <t>0 1870661947</t>
  </si>
  <si>
    <t>131</t>
  </si>
  <si>
    <t>7</t>
  </si>
  <si>
    <t>Md. Hasimul Islam</t>
  </si>
  <si>
    <t>Asst.Cook</t>
  </si>
  <si>
    <t>01.02.1987</t>
  </si>
  <si>
    <t xml:space="preserve">1. Worked as a Cook &amp; Foreman in Australia &amp; Singapore for 10 years </t>
  </si>
  <si>
    <t>0 1785016611</t>
  </si>
  <si>
    <t>132</t>
  </si>
  <si>
    <t>8</t>
  </si>
  <si>
    <t>Md. Zamal Uddin</t>
  </si>
  <si>
    <t>Kitchen Helper</t>
  </si>
  <si>
    <t>01.10.1993</t>
  </si>
  <si>
    <t>07.08.2010</t>
  </si>
  <si>
    <t>Cl-VII</t>
  </si>
  <si>
    <t>0 1628154512</t>
  </si>
  <si>
    <t>133</t>
  </si>
  <si>
    <t>9</t>
  </si>
  <si>
    <t>Md. Sohel Miah</t>
  </si>
  <si>
    <t>01.01.1983</t>
  </si>
  <si>
    <t>09.05.2011</t>
  </si>
  <si>
    <t>0 1712360165</t>
  </si>
  <si>
    <t>134</t>
  </si>
  <si>
    <t>Md. Imran Hosen Sohel</t>
  </si>
  <si>
    <t>12.01.1984</t>
  </si>
  <si>
    <t xml:space="preserve">1. Worked as a helperin a restaurant for 2 years </t>
  </si>
  <si>
    <t>0 1839928846</t>
  </si>
  <si>
    <t>135</t>
  </si>
  <si>
    <t xml:space="preserve">Md. Ibrahim Khan </t>
  </si>
  <si>
    <t>02.02.1987</t>
  </si>
  <si>
    <t>01.06.2007</t>
  </si>
  <si>
    <t>0 1746039653</t>
  </si>
  <si>
    <t>136</t>
  </si>
  <si>
    <t xml:space="preserve">Md Zulfikar Ali </t>
  </si>
  <si>
    <t>Dishwasher (Restaurant)</t>
  </si>
  <si>
    <t>05.10.1997</t>
  </si>
  <si>
    <t>25.02.2019</t>
  </si>
  <si>
    <t>1. 1 years experience as Cleaner</t>
  </si>
  <si>
    <t>137</t>
  </si>
  <si>
    <t>Md Shorif Miah</t>
  </si>
  <si>
    <t>02.01.1997</t>
  </si>
  <si>
    <t>0 1627079958</t>
  </si>
  <si>
    <t>138</t>
  </si>
  <si>
    <t xml:space="preserve">Noman Risat </t>
  </si>
  <si>
    <t>17.02.1998</t>
  </si>
  <si>
    <t>03.11.2018</t>
  </si>
  <si>
    <t>0 1930121972</t>
  </si>
  <si>
    <t>139</t>
  </si>
  <si>
    <t>Md. Hossain Ali (Salam)</t>
  </si>
  <si>
    <t>Waiter (Restaurant)</t>
  </si>
  <si>
    <t>01.01.1981</t>
  </si>
  <si>
    <t>01.07.2004</t>
  </si>
  <si>
    <t>1. Worked as Waiter in a restaurant for 1 year</t>
  </si>
  <si>
    <t>0 1724937309</t>
  </si>
  <si>
    <t>140</t>
  </si>
  <si>
    <t xml:space="preserve">Md. Sohag Munshi </t>
  </si>
  <si>
    <t>01.01.1987</t>
  </si>
  <si>
    <t>0 1735254271</t>
  </si>
  <si>
    <t>141</t>
  </si>
  <si>
    <t>Humayun Kabir</t>
  </si>
  <si>
    <t>05.03.1988</t>
  </si>
  <si>
    <t>01.06.2009</t>
  </si>
  <si>
    <t>1. Worked as Waiter in various restaurant for 9 years</t>
  </si>
  <si>
    <t>0 1966593312</t>
  </si>
  <si>
    <t>142</t>
  </si>
  <si>
    <t>Md. Sujon Mollah</t>
  </si>
  <si>
    <t>12.09.1993</t>
  </si>
  <si>
    <t>05.07.2010</t>
  </si>
  <si>
    <t>1. Worked as Waiter in a Club for 1 year</t>
  </si>
  <si>
    <t>0 1966497112</t>
  </si>
  <si>
    <t>143</t>
  </si>
  <si>
    <t>Md. Sohel Hossain Khan</t>
  </si>
  <si>
    <t>05.10.1990</t>
  </si>
  <si>
    <t>1. Worked as Waiter in a Reataurant for 1 yr</t>
  </si>
  <si>
    <t>0 1720651286</t>
  </si>
  <si>
    <t>144</t>
  </si>
  <si>
    <t>Md. Saiful Islam Rubal Sikder</t>
  </si>
  <si>
    <t>18.08.1997</t>
  </si>
  <si>
    <t>01.12.2017</t>
  </si>
  <si>
    <t>0 1756149011</t>
  </si>
  <si>
    <t>145</t>
  </si>
  <si>
    <t xml:space="preserve">Md. Shahabuddin Hawladar </t>
  </si>
  <si>
    <t>0 1741359705</t>
  </si>
  <si>
    <t>146</t>
  </si>
  <si>
    <t>Md Jasim Uddin</t>
  </si>
  <si>
    <t>15.10.1994</t>
  </si>
  <si>
    <t>BBS</t>
  </si>
  <si>
    <t>1. Worked as a Computer operator in a shop for 1 year</t>
  </si>
  <si>
    <t>0 1637098046</t>
  </si>
  <si>
    <t>147</t>
  </si>
  <si>
    <t>Md Moniruzzaman Miah</t>
  </si>
  <si>
    <t>20.12.1994</t>
  </si>
  <si>
    <t>1. Worked as Waiter in Various Reataurant for 7 years</t>
  </si>
  <si>
    <t>0 1751408267</t>
  </si>
  <si>
    <t>148</t>
  </si>
  <si>
    <t xml:space="preserve">Md Aslam Hossain </t>
  </si>
  <si>
    <t>01.04.1999</t>
  </si>
  <si>
    <t>0 1727783236</t>
  </si>
  <si>
    <t>149</t>
  </si>
  <si>
    <t xml:space="preserve">Md Abu Sayem </t>
  </si>
  <si>
    <t xml:space="preserve">Waiter, Restaurant </t>
  </si>
  <si>
    <t>03.06.1983</t>
  </si>
  <si>
    <t>2.01.2019</t>
  </si>
  <si>
    <t xml:space="preserve">1. 11  Years in Various restaurant </t>
  </si>
  <si>
    <t>01811883253</t>
  </si>
  <si>
    <t>150</t>
  </si>
  <si>
    <t xml:space="preserve">Sajib Ali </t>
  </si>
  <si>
    <t>25.08.1998</t>
  </si>
  <si>
    <t>7.01.2019</t>
  </si>
  <si>
    <t xml:space="preserve">1. 1 Years in a restaurant </t>
  </si>
  <si>
    <t>0 1318614699</t>
  </si>
  <si>
    <t>151</t>
  </si>
  <si>
    <t>Md. F M  Hakmat Ali</t>
  </si>
  <si>
    <t>Baker</t>
  </si>
  <si>
    <t>Baker /Asst Baker</t>
  </si>
  <si>
    <t>01.01.1967</t>
  </si>
  <si>
    <t>01.10.2002</t>
  </si>
  <si>
    <t>1. Worked as Pastry Man at a Company for 14 years</t>
  </si>
  <si>
    <t>No proper appoinment letter</t>
  </si>
  <si>
    <t>0 1982700561</t>
  </si>
  <si>
    <t>152</t>
  </si>
  <si>
    <t>Md. Selim Miah</t>
  </si>
  <si>
    <t>Asst. Baker</t>
  </si>
  <si>
    <t>08.09.1972</t>
  </si>
  <si>
    <t>01.09.2009</t>
  </si>
  <si>
    <t>1. Worked as Pastry Man at a shop for 12 years</t>
  </si>
  <si>
    <t>0 1770527172</t>
  </si>
  <si>
    <t>153</t>
  </si>
  <si>
    <t>Md.Rubel Islam</t>
  </si>
  <si>
    <t>13.12.1971</t>
  </si>
  <si>
    <t>07.07.2013</t>
  </si>
  <si>
    <t>1. Worked as Bakery Man at various shop for 24 years</t>
  </si>
  <si>
    <t>0 1935891448</t>
  </si>
  <si>
    <t>154</t>
  </si>
  <si>
    <t>Chef / Asst Chef</t>
  </si>
  <si>
    <t>01.08.1983</t>
  </si>
  <si>
    <t>1. Worked at 2 Pvt Company  for 6 years</t>
  </si>
  <si>
    <t>0 1921854163</t>
  </si>
  <si>
    <t>155</t>
  </si>
  <si>
    <t>Md. Balal Hossain (New)</t>
  </si>
  <si>
    <t>01.06.1980</t>
  </si>
  <si>
    <t>1. Worked as Cook for 6 years</t>
  </si>
  <si>
    <t>0 1931608046</t>
  </si>
  <si>
    <t>156</t>
  </si>
  <si>
    <t>Md Rajib Miah</t>
  </si>
  <si>
    <t>Kitchen Helper, Bakery</t>
  </si>
  <si>
    <t>16.08.2000</t>
  </si>
  <si>
    <t>0 1703072652</t>
  </si>
  <si>
    <t>157</t>
  </si>
  <si>
    <t>Md. Omar Faruk</t>
  </si>
  <si>
    <t>12.03.1990</t>
  </si>
  <si>
    <t>1.07.2018</t>
  </si>
  <si>
    <t>1. Worked as Cook at 2 Pvt Company for 10 years</t>
  </si>
  <si>
    <t>0 1825912319</t>
  </si>
  <si>
    <t>158</t>
  </si>
  <si>
    <t>Md.Atiqur Rahman</t>
  </si>
  <si>
    <t>Bakery Salesman</t>
  </si>
  <si>
    <t>Salesman, Bakery</t>
  </si>
  <si>
    <t>30.08.1994</t>
  </si>
  <si>
    <t>0 1815578857</t>
  </si>
  <si>
    <t>159</t>
  </si>
  <si>
    <t>Md.Harun or Rashid</t>
  </si>
  <si>
    <t>Waiter, Bakery</t>
  </si>
  <si>
    <t>25.12.1980</t>
  </si>
  <si>
    <t>0 1724448877</t>
  </si>
  <si>
    <t>160</t>
  </si>
  <si>
    <t>Md Azizul Haque</t>
  </si>
  <si>
    <t>05.04.2001</t>
  </si>
  <si>
    <t>13.07.2018</t>
  </si>
  <si>
    <t>0 1685442523</t>
  </si>
  <si>
    <t>161</t>
  </si>
  <si>
    <t xml:space="preserve">Md. Saddam Hossain </t>
  </si>
  <si>
    <t>25.08.1994</t>
  </si>
  <si>
    <t>Fadil</t>
  </si>
  <si>
    <t>0 1768810527</t>
  </si>
  <si>
    <t>9.11 yrs</t>
  </si>
  <si>
    <t>3.5 yrs</t>
  </si>
  <si>
    <t>7.7 yrs</t>
  </si>
  <si>
    <t>6.2 yrs</t>
  </si>
  <si>
    <t>4.5 yrs</t>
  </si>
  <si>
    <t>2.3 yrs</t>
  </si>
  <si>
    <t>1.8 yrs</t>
  </si>
  <si>
    <t>1 yr</t>
  </si>
  <si>
    <t>10.10 yrs</t>
  </si>
  <si>
    <t>23.10 yrs</t>
  </si>
  <si>
    <t>14.2 yrs</t>
  </si>
  <si>
    <t>6.3 yrs</t>
  </si>
  <si>
    <t>5.1 yrs</t>
  </si>
  <si>
    <t>3.4 yrs</t>
  </si>
  <si>
    <t>2.4 yrs</t>
  </si>
  <si>
    <t>3.1 yrs</t>
  </si>
  <si>
    <t>1.10 yrs</t>
  </si>
  <si>
    <t>9.6 yrs</t>
  </si>
  <si>
    <t>5 yrs</t>
  </si>
  <si>
    <t>2.6 yrs</t>
  </si>
  <si>
    <t>13.5 yrs</t>
  </si>
  <si>
    <t>12.4 yrs</t>
  </si>
  <si>
    <t xml:space="preserve"> </t>
  </si>
  <si>
    <t>7.10 yrs</t>
  </si>
  <si>
    <t>5.10 yrs</t>
  </si>
  <si>
    <t>3.6 yrs</t>
  </si>
  <si>
    <t>3.2 yrs</t>
  </si>
  <si>
    <t>10.11 yrs</t>
  </si>
  <si>
    <t>1.3 yrs</t>
  </si>
  <si>
    <t>5.11 yrs</t>
  </si>
  <si>
    <t>2.5 yrs</t>
  </si>
  <si>
    <t>13.10 yrs</t>
  </si>
  <si>
    <t>2.2 yrs</t>
  </si>
  <si>
    <t>1.7 yrs</t>
  </si>
  <si>
    <t>2.7 yrs</t>
  </si>
  <si>
    <t>3.9 yrs</t>
  </si>
  <si>
    <t>2.11 yrs</t>
  </si>
  <si>
    <t>3.11 yrs</t>
  </si>
  <si>
    <t>20.2 yrs</t>
  </si>
  <si>
    <t>10.5 yrs</t>
  </si>
  <si>
    <t>13 yrs</t>
  </si>
  <si>
    <t>28 yrs</t>
  </si>
  <si>
    <t>13.4 yrs</t>
  </si>
  <si>
    <t>4.7 yrs</t>
  </si>
  <si>
    <t>9.5 yrs</t>
  </si>
  <si>
    <t>4.10 yrs</t>
  </si>
  <si>
    <t>5.5 yrs</t>
  </si>
  <si>
    <t>2.10 yrs</t>
  </si>
  <si>
    <t>1.5 month</t>
  </si>
  <si>
    <t>11 yrs</t>
  </si>
  <si>
    <t>21.6 yrs</t>
  </si>
  <si>
    <t>11.2 yrs</t>
  </si>
  <si>
    <t>14.5 yrs</t>
  </si>
  <si>
    <t>2.8 yrs</t>
  </si>
  <si>
    <t>3 yrs</t>
  </si>
  <si>
    <t>17.4 yrs</t>
  </si>
  <si>
    <t>12.5 yrs</t>
  </si>
  <si>
    <t>11.4 yrs</t>
  </si>
  <si>
    <t>2.9 yrs</t>
  </si>
  <si>
    <t>19.1 yrs</t>
  </si>
  <si>
    <t>12.2 yrs</t>
  </si>
  <si>
    <t>8.3 yrs</t>
  </si>
  <si>
    <t>Total Salary</t>
  </si>
  <si>
    <t xml:space="preserve">Asst Supervising Staff (MSC) </t>
  </si>
  <si>
    <t>Abdur Rahim</t>
  </si>
  <si>
    <t>4.2 yrs</t>
  </si>
  <si>
    <t>18.10.2017</t>
  </si>
  <si>
    <t>Acct</t>
  </si>
  <si>
    <t>9.10 yrs</t>
  </si>
  <si>
    <t>9.9 yrs</t>
  </si>
  <si>
    <t>Md. Mozammel Hossain</t>
  </si>
  <si>
    <t>Asst. Supervisor (Janitor)</t>
  </si>
  <si>
    <t>22.09.20 18</t>
  </si>
  <si>
    <t>Md. Saddam Hossain</t>
  </si>
  <si>
    <t>04.05.2022</t>
  </si>
  <si>
    <t>DOR</t>
  </si>
  <si>
    <t>Pub Asst</t>
  </si>
  <si>
    <t>07.05.2022</t>
  </si>
  <si>
    <t>Md. Billal Akon</t>
  </si>
  <si>
    <t>31.05.2022</t>
  </si>
  <si>
    <t>Md. Shohel Rana</t>
  </si>
  <si>
    <t>Asst Acct</t>
  </si>
  <si>
    <t>20.05.2022</t>
  </si>
  <si>
    <t>Asst. Manager, Hall</t>
  </si>
  <si>
    <t>3.10 yrs</t>
  </si>
  <si>
    <t>4.8 yrs</t>
  </si>
  <si>
    <t>5.6 yrs</t>
  </si>
  <si>
    <t>Basic Salary</t>
  </si>
  <si>
    <t>Syed Rabiul Islam</t>
  </si>
  <si>
    <t>Receptionist</t>
  </si>
  <si>
    <t>13.11.2021</t>
  </si>
  <si>
    <t>Sgt AKM Azad Ripon (Retd)</t>
  </si>
  <si>
    <t>16.01.2022</t>
  </si>
  <si>
    <t>Sy Super</t>
  </si>
  <si>
    <t>Svc Yr</t>
  </si>
  <si>
    <t>PF 
Money</t>
  </si>
  <si>
    <t>Shofiq Mia</t>
  </si>
  <si>
    <t>4.2 (3.5)</t>
  </si>
  <si>
    <t>4 (3.3)</t>
  </si>
  <si>
    <t>Md. Mehedi Hasan Shohag</t>
  </si>
  <si>
    <t>01.06.2022</t>
  </si>
  <si>
    <t>Sy Money</t>
  </si>
  <si>
    <t xml:space="preserve">Baker </t>
  </si>
  <si>
    <t>Payment of Death</t>
  </si>
  <si>
    <t>17.07.2018</t>
  </si>
  <si>
    <t>3.3 (4.3)</t>
  </si>
  <si>
    <t>2.5 (3.6)</t>
  </si>
  <si>
    <t>Md. Mizan</t>
  </si>
  <si>
    <t>Imam Hasan Rumi</t>
  </si>
  <si>
    <t>Salseman</t>
  </si>
  <si>
    <t>Rifadul Islam</t>
  </si>
  <si>
    <t>01.04.2022</t>
  </si>
  <si>
    <t>01.03.2022</t>
  </si>
  <si>
    <t>15.07.2022</t>
  </si>
  <si>
    <t>9 months</t>
  </si>
  <si>
    <t>5 months</t>
  </si>
  <si>
    <t>Lt Col AKM Anzamul Haque</t>
  </si>
  <si>
    <t>GM (Ops)</t>
  </si>
  <si>
    <t>27.03.2019</t>
  </si>
  <si>
    <t>Rejwan Rashedin</t>
  </si>
  <si>
    <t>Trainer (Gym)</t>
  </si>
  <si>
    <t>Joyonto Cruze</t>
  </si>
  <si>
    <t>Shohag Gazi</t>
  </si>
  <si>
    <t>June'22</t>
  </si>
  <si>
    <t>July'22</t>
  </si>
  <si>
    <t>Aug'22</t>
  </si>
  <si>
    <t>Sep'22</t>
  </si>
  <si>
    <t>Oct'22</t>
  </si>
  <si>
    <t>Nov'22</t>
  </si>
  <si>
    <t>Dec'22</t>
  </si>
  <si>
    <t>Jan'23</t>
  </si>
  <si>
    <t>Feb'23</t>
  </si>
  <si>
    <t>Mar'23</t>
  </si>
  <si>
    <t>Apr'23</t>
  </si>
  <si>
    <t>May'23</t>
  </si>
  <si>
    <t>Md. Sojib</t>
  </si>
  <si>
    <t>01.11.2022</t>
  </si>
  <si>
    <t>Svc months</t>
  </si>
  <si>
    <t>Md. Azam Khan</t>
  </si>
  <si>
    <t>01.12.2022</t>
  </si>
  <si>
    <t>Restaurant Asst</t>
  </si>
  <si>
    <t>07.01.2023</t>
  </si>
  <si>
    <t>Svc 
Yrs</t>
  </si>
  <si>
    <t>Reyad</t>
  </si>
  <si>
    <t>Executive (Booking)</t>
  </si>
  <si>
    <t>Kazi Icktedayat Hossain</t>
  </si>
  <si>
    <t>Manager (Res)</t>
  </si>
  <si>
    <t>01.10.2021</t>
  </si>
  <si>
    <t>Month</t>
  </si>
  <si>
    <t xml:space="preserve">Lt Col Md Abdul Kader, G+ </t>
  </si>
  <si>
    <t>Lt Col Md Alaul Kabir, psc</t>
  </si>
  <si>
    <t>GM (FM)</t>
  </si>
  <si>
    <t>10.11.2018</t>
  </si>
  <si>
    <t>01.04.2023</t>
  </si>
  <si>
    <t>Md. Morshed Alam</t>
  </si>
  <si>
    <t>Cleaning Asst</t>
  </si>
  <si>
    <t>01.01.2024</t>
  </si>
  <si>
    <t>01.11.2021</t>
  </si>
  <si>
    <t>PF-Ripon</t>
  </si>
  <si>
    <t>Md. Mannan</t>
  </si>
  <si>
    <t>Dishwasher</t>
  </si>
  <si>
    <t>Md. Taiyob Ali</t>
  </si>
  <si>
    <t xml:space="preserve">Dishwasher </t>
  </si>
  <si>
    <t>10.02.2000</t>
  </si>
  <si>
    <t xml:space="preserve">Md. Balal Hossain </t>
  </si>
  <si>
    <t>Risat Ahmed Noman</t>
  </si>
  <si>
    <t>Mannan</t>
  </si>
  <si>
    <t>Zulfikar</t>
  </si>
  <si>
    <t>Taiyob</t>
  </si>
  <si>
    <t>Rajib</t>
  </si>
  <si>
    <t>Balal</t>
  </si>
  <si>
    <t>Noman</t>
  </si>
  <si>
    <t>14=16.1</t>
  </si>
  <si>
    <t>3=5.9</t>
  </si>
  <si>
    <t>3=5.5</t>
  </si>
  <si>
    <t>Jun'22</t>
  </si>
  <si>
    <t>Jul'22</t>
  </si>
  <si>
    <t>Jun'23</t>
  </si>
  <si>
    <t>Jul'23</t>
  </si>
  <si>
    <t>Aug'23</t>
  </si>
  <si>
    <t>Sep'23</t>
  </si>
  <si>
    <t>Oct'23</t>
  </si>
  <si>
    <t>Nov'23</t>
  </si>
  <si>
    <t>Dec'23</t>
  </si>
  <si>
    <t>Jan'24</t>
  </si>
  <si>
    <t>Feb'24</t>
  </si>
  <si>
    <t>Mar'24</t>
  </si>
  <si>
    <t>Apr'24</t>
  </si>
  <si>
    <t>May'24</t>
  </si>
  <si>
    <t>Jun'24</t>
  </si>
  <si>
    <t>State of PFF</t>
  </si>
  <si>
    <t>Individual</t>
  </si>
  <si>
    <t>Individual+RAOWA</t>
  </si>
  <si>
    <t>Plabon Hajong</t>
  </si>
  <si>
    <t>5=7.11</t>
  </si>
  <si>
    <t>Plabon</t>
  </si>
  <si>
    <t>Jul'24</t>
  </si>
  <si>
    <t>Farhan Masud Fahim</t>
  </si>
  <si>
    <t>Md. Abdullah</t>
  </si>
  <si>
    <t>Asst. Cash Counter Operator</t>
  </si>
  <si>
    <t>Md. Musharof</t>
  </si>
  <si>
    <t>Fahim</t>
  </si>
  <si>
    <t>Musharof</t>
  </si>
  <si>
    <t>Abdullah</t>
  </si>
  <si>
    <t>Aug'24</t>
  </si>
  <si>
    <t>Sep'24</t>
  </si>
  <si>
    <t>Oct'24</t>
  </si>
  <si>
    <t>Nov'24</t>
  </si>
  <si>
    <t>Weekly Holidy</t>
  </si>
  <si>
    <t>Govt. Holiday</t>
  </si>
  <si>
    <t>Festival Leave</t>
  </si>
  <si>
    <t>CL</t>
  </si>
  <si>
    <t>AL</t>
  </si>
  <si>
    <t>Total Leave</t>
  </si>
  <si>
    <t>Total Working Days</t>
  </si>
  <si>
    <t>Availd</t>
  </si>
  <si>
    <t>50% of AL (Encashment)</t>
  </si>
  <si>
    <t>Salim Reza</t>
  </si>
  <si>
    <t>18.01.2024</t>
  </si>
  <si>
    <t>Dec'24</t>
  </si>
  <si>
    <t>Jan'25</t>
  </si>
  <si>
    <t>Feb'25</t>
  </si>
  <si>
    <t xml:space="preserve">Total Days </t>
  </si>
  <si>
    <t>Md. Manik Mia</t>
  </si>
  <si>
    <t>Manik</t>
  </si>
  <si>
    <t>Omar</t>
  </si>
  <si>
    <t>Average</t>
  </si>
  <si>
    <t>6.8 (3.4)</t>
  </si>
  <si>
    <t>Faruk</t>
  </si>
  <si>
    <t>Mar'25</t>
  </si>
  <si>
    <t>Shahadat</t>
  </si>
  <si>
    <t xml:space="preserve">Md. Shahadat Hossain </t>
  </si>
  <si>
    <t>Apr'25</t>
  </si>
  <si>
    <t>May'25</t>
  </si>
  <si>
    <t>Md. Emran Hossen</t>
  </si>
  <si>
    <t>Emran</t>
  </si>
  <si>
    <t>Md. Mainul Islam Rony</t>
  </si>
  <si>
    <t>Rony</t>
  </si>
  <si>
    <t>Md. Shohag</t>
  </si>
  <si>
    <t>Storekeeper (Hall)</t>
  </si>
  <si>
    <t>Shohag</t>
  </si>
  <si>
    <t>Jun'25</t>
  </si>
  <si>
    <t>Amin</t>
  </si>
  <si>
    <t>ML</t>
  </si>
  <si>
    <t>LWP</t>
  </si>
  <si>
    <t>Nur Islam</t>
  </si>
  <si>
    <t>Khalil</t>
  </si>
  <si>
    <t xml:space="preserve">Faruk </t>
  </si>
  <si>
    <t>Iqbal</t>
  </si>
  <si>
    <t>Polash</t>
  </si>
  <si>
    <t>Kazi Ismail Mostafa Shanto</t>
  </si>
  <si>
    <t>Parcelman</t>
  </si>
  <si>
    <t>Shanto</t>
  </si>
  <si>
    <t>Sr. Executive, HR</t>
  </si>
  <si>
    <t>Friday+Holiday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</si>
  <si>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</si>
  <si>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</si>
  <si>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</si>
  <si>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</si>
  <si>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</si>
  <si>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</si>
  <si>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</si>
  <si>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</si>
  <si>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</si>
  <si>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Year</t>
  </si>
  <si>
    <t>Annual Leave Calculation</t>
  </si>
  <si>
    <t>Total days</t>
  </si>
  <si>
    <t>Weeks</t>
  </si>
  <si>
    <t>Holiday</t>
  </si>
  <si>
    <t>14 x 8.6 - 28</t>
  </si>
  <si>
    <t>T/W days</t>
  </si>
  <si>
    <t>Encashed</t>
  </si>
  <si>
    <t>11.1 (8.2)</t>
  </si>
  <si>
    <t>14 x 11.10</t>
  </si>
  <si>
    <t>Executive</t>
  </si>
  <si>
    <r>
      <rPr>
        <sz val="11"/>
        <color rgb="FFFF0000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(11.5)</t>
    </r>
  </si>
  <si>
    <t>µwgK bs</t>
  </si>
  <si>
    <t xml:space="preserve">bvg </t>
  </si>
  <si>
    <t>c`ex</t>
  </si>
  <si>
    <t>eZ©gvb †eZb</t>
  </si>
  <si>
    <t>cÖ¯ÍvweZ †eZb</t>
  </si>
  <si>
    <t>e„w×i cwigvb</t>
  </si>
  <si>
    <t>Iqvt Awdt KvRx †gvt gwdDj Avjg (Ae:)</t>
  </si>
  <si>
    <t>Gw·wKDwUf (GmGmwm)</t>
  </si>
  <si>
    <t>mv‡R©›U †gvt kixd wgqv (Ae:)</t>
  </si>
  <si>
    <t>wmwb. Gw·wKDwUf (nj)</t>
  </si>
  <si>
    <t>mv‡R©›U †gvt gwnDwÏb Avn‡g` (Ae:)</t>
  </si>
  <si>
    <t>Gw·wKDwUf (nj)</t>
  </si>
  <si>
    <t>‡gvt Av‡e`yi ingvb cvày</t>
  </si>
  <si>
    <t>evUjvi</t>
  </si>
  <si>
    <t>Zvwid gvngy`</t>
  </si>
  <si>
    <t>Gw·wKDwUf (AvBwU)</t>
  </si>
  <si>
    <t>Bgivb †nv‡mb †mv‡nj</t>
  </si>
  <si>
    <t>mnt KzK</t>
  </si>
  <si>
    <t>‡mv‡nj wgqv</t>
  </si>
  <si>
    <t>‡gvt dqmvj Avn‡g`</t>
  </si>
  <si>
    <t>‡÷viwKcvi</t>
  </si>
  <si>
    <t>mv‡R©›U Avãyj nvbœvb (Ae:)</t>
  </si>
  <si>
    <t>WªvBfvi</t>
  </si>
  <si>
    <t>‡gvt gvmyg wejøvn</t>
  </si>
  <si>
    <t>‡gvt kvgxg Avn‡g`</t>
  </si>
  <si>
    <t>mv‡cvU© ÷vd</t>
  </si>
  <si>
    <t>‡gvt kvnxb nvIjv`vi</t>
  </si>
  <si>
    <t>mvwKe nvmvb</t>
  </si>
  <si>
    <t>iv‡k` Avn‡g`</t>
  </si>
  <si>
    <t>‡gvU</t>
  </si>
  <si>
    <t>14 x 15-39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</si>
</sst>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[$-409]d\-mmm\-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12529"/>
      <name val="Source Sans Pro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b/>
      <u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7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1"/>
      <color theme="1"/>
      <name val="Tahoma"/>
      <family val="2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SutonnyMJ"/>
    </font>
    <font>
      <sz val="12"/>
      <color theme="1"/>
      <name val="SutonnyMJ"/>
    </font>
    <font>
      <b/>
      <sz val="12"/>
      <color rgb="FF000000"/>
      <name val="SutonnyMJ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7">
    <xf numFmtId="0" fontId="0" fillId="0" borderId="0" xfId="0"/>
    <xf numFmtId="0" fontId="4" fillId="2" borderId="0" xfId="2" applyFont="1" applyFill="1"/>
    <xf numFmtId="49" fontId="4" fillId="2" borderId="2" xfId="2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2" borderId="4" xfId="2" applyFont="1" applyFill="1" applyBorder="1" applyAlignment="1">
      <alignment horizontal="center" vertical="center" wrapText="1"/>
    </xf>
    <xf numFmtId="43" fontId="5" fillId="2" borderId="4" xfId="3" applyFont="1" applyFill="1" applyBorder="1" applyAlignment="1"/>
    <xf numFmtId="164" fontId="6" fillId="2" borderId="4" xfId="1" applyNumberFormat="1" applyFont="1" applyFill="1" applyBorder="1" applyAlignment="1">
      <alignment horizontal="center" vertical="center"/>
    </xf>
    <xf numFmtId="164" fontId="5" fillId="2" borderId="4" xfId="3" applyNumberFormat="1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wrapText="1"/>
    </xf>
    <xf numFmtId="0" fontId="5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/>
    <xf numFmtId="49" fontId="4" fillId="2" borderId="4" xfId="2" applyNumberFormat="1" applyFont="1" applyFill="1" applyBorder="1" applyAlignment="1">
      <alignment horizontal="center" vertical="center"/>
    </xf>
    <xf numFmtId="0" fontId="7" fillId="2" borderId="4" xfId="2" applyFont="1" applyFill="1" applyBorder="1" applyAlignment="1">
      <alignment vertical="center"/>
    </xf>
    <xf numFmtId="0" fontId="7" fillId="2" borderId="4" xfId="4" applyFont="1" applyFill="1" applyBorder="1" applyAlignment="1">
      <alignment vertical="center"/>
    </xf>
    <xf numFmtId="43" fontId="4" fillId="2" borderId="4" xfId="3" applyFont="1" applyFill="1" applyBorder="1" applyAlignment="1">
      <alignment horizontal="center"/>
    </xf>
    <xf numFmtId="164" fontId="4" fillId="2" borderId="4" xfId="3" applyNumberFormat="1" applyFont="1" applyFill="1" applyBorder="1"/>
    <xf numFmtId="43" fontId="4" fillId="2" borderId="4" xfId="3" applyFont="1" applyFill="1" applyBorder="1" applyAlignment="1">
      <alignment vertical="center"/>
    </xf>
    <xf numFmtId="164" fontId="4" fillId="2" borderId="4" xfId="1" applyNumberFormat="1" applyFont="1" applyFill="1" applyBorder="1" applyAlignment="1">
      <alignment horizontal="center"/>
    </xf>
    <xf numFmtId="164" fontId="4" fillId="2" borderId="4" xfId="3" applyNumberFormat="1" applyFont="1" applyFill="1" applyBorder="1" applyAlignment="1">
      <alignment vertical="center"/>
    </xf>
    <xf numFmtId="43" fontId="4" fillId="2" borderId="4" xfId="2" applyNumberFormat="1" applyFont="1" applyFill="1" applyBorder="1"/>
    <xf numFmtId="0" fontId="4" fillId="2" borderId="4" xfId="2" applyFont="1" applyFill="1" applyBorder="1"/>
    <xf numFmtId="0" fontId="4" fillId="2" borderId="5" xfId="2" applyFont="1" applyFill="1" applyBorder="1"/>
    <xf numFmtId="0" fontId="7" fillId="2" borderId="4" xfId="5" applyFont="1" applyFill="1" applyBorder="1" applyAlignment="1">
      <alignment vertical="center"/>
    </xf>
    <xf numFmtId="164" fontId="4" fillId="2" borderId="4" xfId="3" applyNumberFormat="1" applyFont="1" applyFill="1" applyBorder="1" applyAlignment="1">
      <alignment horizontal="center"/>
    </xf>
    <xf numFmtId="164" fontId="4" fillId="2" borderId="4" xfId="6" applyNumberFormat="1" applyFont="1" applyFill="1" applyBorder="1" applyAlignment="1">
      <alignment vertical="center"/>
    </xf>
    <xf numFmtId="0" fontId="8" fillId="2" borderId="4" xfId="2" applyFont="1" applyFill="1" applyBorder="1" applyAlignment="1">
      <alignment horizontal="right"/>
    </xf>
    <xf numFmtId="0" fontId="8" fillId="2" borderId="4" xfId="2" applyFont="1" applyFill="1" applyBorder="1"/>
    <xf numFmtId="0" fontId="8" fillId="2" borderId="5" xfId="2" applyFont="1" applyFill="1" applyBorder="1"/>
    <xf numFmtId="164" fontId="4" fillId="2" borderId="4" xfId="2" applyNumberFormat="1" applyFont="1" applyFill="1" applyBorder="1"/>
    <xf numFmtId="164" fontId="8" fillId="2" borderId="4" xfId="2" applyNumberFormat="1" applyFont="1" applyFill="1" applyBorder="1"/>
    <xf numFmtId="0" fontId="8" fillId="2" borderId="0" xfId="2" applyFont="1" applyFill="1"/>
    <xf numFmtId="0" fontId="4" fillId="2" borderId="4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right" vertical="center" wrapText="1"/>
    </xf>
    <xf numFmtId="0" fontId="5" fillId="2" borderId="4" xfId="2" applyFont="1" applyFill="1" applyBorder="1" applyAlignment="1">
      <alignment horizontal="right" vertical="center" wrapText="1"/>
    </xf>
    <xf numFmtId="0" fontId="7" fillId="2" borderId="5" xfId="2" applyFont="1" applyFill="1" applyBorder="1" applyAlignment="1">
      <alignment vertical="center"/>
    </xf>
    <xf numFmtId="165" fontId="4" fillId="2" borderId="4" xfId="2" applyNumberFormat="1" applyFont="1" applyFill="1" applyBorder="1"/>
    <xf numFmtId="0" fontId="9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164" fontId="5" fillId="2" borderId="4" xfId="1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right" vertical="center"/>
    </xf>
    <xf numFmtId="0" fontId="4" fillId="2" borderId="4" xfId="2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/>
    </xf>
    <xf numFmtId="3" fontId="4" fillId="2" borderId="4" xfId="3" applyNumberFormat="1" applyFont="1" applyFill="1" applyBorder="1"/>
    <xf numFmtId="0" fontId="8" fillId="2" borderId="4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7" xfId="0" applyFont="1" applyFill="1" applyBorder="1"/>
    <xf numFmtId="0" fontId="11" fillId="2" borderId="7" xfId="0" applyFont="1" applyFill="1" applyBorder="1" applyAlignment="1">
      <alignment horizontal="center"/>
    </xf>
    <xf numFmtId="4" fontId="11" fillId="2" borderId="7" xfId="0" applyNumberFormat="1" applyFont="1" applyFill="1" applyBorder="1"/>
    <xf numFmtId="3" fontId="4" fillId="2" borderId="7" xfId="3" applyNumberFormat="1" applyFont="1" applyFill="1" applyBorder="1" applyAlignment="1">
      <alignment horizontal="right"/>
    </xf>
    <xf numFmtId="3" fontId="4" fillId="2" borderId="7" xfId="3" applyNumberFormat="1" applyFont="1" applyFill="1" applyBorder="1" applyAlignment="1">
      <alignment horizontal="center"/>
    </xf>
    <xf numFmtId="3" fontId="4" fillId="2" borderId="7" xfId="3" applyNumberFormat="1" applyFont="1" applyFill="1" applyBorder="1" applyAlignment="1"/>
    <xf numFmtId="164" fontId="5" fillId="2" borderId="7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horizontal="center"/>
    </xf>
    <xf numFmtId="3" fontId="4" fillId="2" borderId="7" xfId="2" applyNumberFormat="1" applyFont="1" applyFill="1" applyBorder="1" applyAlignment="1">
      <alignment horizontal="center"/>
    </xf>
    <xf numFmtId="164" fontId="4" fillId="2" borderId="7" xfId="3" applyNumberFormat="1" applyFont="1" applyFill="1" applyBorder="1"/>
    <xf numFmtId="3" fontId="4" fillId="2" borderId="7" xfId="3" applyNumberFormat="1" applyFont="1" applyFill="1" applyBorder="1"/>
    <xf numFmtId="0" fontId="8" fillId="2" borderId="7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right"/>
    </xf>
    <xf numFmtId="0" fontId="8" fillId="2" borderId="7" xfId="2" applyFont="1" applyFill="1" applyBorder="1"/>
    <xf numFmtId="0" fontId="9" fillId="2" borderId="5" xfId="0" applyFont="1" applyFill="1" applyBorder="1" applyAlignment="1">
      <alignment vertical="center"/>
    </xf>
    <xf numFmtId="0" fontId="4" fillId="2" borderId="5" xfId="2" applyFont="1" applyFill="1" applyBorder="1" applyAlignment="1">
      <alignment horizontal="left" vertical="center"/>
    </xf>
    <xf numFmtId="1" fontId="4" fillId="2" borderId="4" xfId="2" applyNumberFormat="1" applyFont="1" applyFill="1" applyBorder="1"/>
    <xf numFmtId="0" fontId="12" fillId="0" borderId="0" xfId="0" applyFont="1"/>
    <xf numFmtId="49" fontId="4" fillId="2" borderId="4" xfId="2" applyNumberFormat="1" applyFont="1" applyFill="1" applyBorder="1" applyAlignment="1">
      <alignment horizontal="center"/>
    </xf>
    <xf numFmtId="0" fontId="5" fillId="2" borderId="5" xfId="2" applyFont="1" applyFill="1" applyBorder="1"/>
    <xf numFmtId="0" fontId="5" fillId="2" borderId="4" xfId="2" applyFont="1" applyFill="1" applyBorder="1"/>
    <xf numFmtId="164" fontId="5" fillId="2" borderId="4" xfId="2" applyNumberFormat="1" applyFont="1" applyFill="1" applyBorder="1"/>
    <xf numFmtId="164" fontId="5" fillId="2" borderId="4" xfId="1" applyNumberFormat="1" applyFont="1" applyFill="1" applyBorder="1"/>
    <xf numFmtId="164" fontId="5" fillId="2" borderId="4" xfId="3" applyNumberFormat="1" applyFont="1" applyFill="1" applyBorder="1"/>
    <xf numFmtId="0" fontId="5" fillId="3" borderId="4" xfId="2" applyFont="1" applyFill="1" applyBorder="1"/>
    <xf numFmtId="43" fontId="5" fillId="3" borderId="4" xfId="2" applyNumberFormat="1" applyFont="1" applyFill="1" applyBorder="1"/>
    <xf numFmtId="49" fontId="4" fillId="2" borderId="0" xfId="2" applyNumberFormat="1" applyFont="1" applyFill="1" applyAlignment="1">
      <alignment horizontal="center"/>
    </xf>
    <xf numFmtId="164" fontId="4" fillId="2" borderId="0" xfId="1" applyNumberFormat="1" applyFont="1" applyFill="1"/>
    <xf numFmtId="164" fontId="4" fillId="2" borderId="0" xfId="1" applyNumberFormat="1" applyFont="1" applyFill="1" applyAlignment="1">
      <alignment horizontal="center"/>
    </xf>
    <xf numFmtId="164" fontId="4" fillId="2" borderId="0" xfId="2" applyNumberFormat="1" applyFont="1" applyFill="1"/>
    <xf numFmtId="164" fontId="4" fillId="2" borderId="0" xfId="3" applyNumberFormat="1" applyFont="1" applyFill="1"/>
    <xf numFmtId="43" fontId="4" fillId="2" borderId="0" xfId="2" applyNumberFormat="1" applyFont="1" applyFill="1"/>
    <xf numFmtId="0" fontId="5" fillId="2" borderId="2" xfId="2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1" fillId="2" borderId="4" xfId="2" applyFont="1" applyFill="1" applyBorder="1" applyAlignment="1">
      <alignment horizontal="center" vertical="center" wrapText="1"/>
    </xf>
    <xf numFmtId="43" fontId="8" fillId="2" borderId="4" xfId="2" applyNumberFormat="1" applyFont="1" applyFill="1" applyBorder="1"/>
    <xf numFmtId="43" fontId="7" fillId="2" borderId="4" xfId="5" applyNumberFormat="1" applyFont="1" applyFill="1" applyBorder="1" applyAlignment="1">
      <alignment vertical="center"/>
    </xf>
    <xf numFmtId="164" fontId="13" fillId="3" borderId="4" xfId="2" applyNumberFormat="1" applyFont="1" applyFill="1" applyBorder="1"/>
    <xf numFmtId="1" fontId="4" fillId="2" borderId="0" xfId="2" applyNumberFormat="1" applyFont="1" applyFill="1"/>
    <xf numFmtId="0" fontId="0" fillId="2" borderId="4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 vertical="center" wrapText="1"/>
    </xf>
    <xf numFmtId="0" fontId="0" fillId="2" borderId="4" xfId="2" applyFont="1" applyFill="1" applyBorder="1" applyAlignment="1">
      <alignment horizontal="left" vertical="center" wrapText="1"/>
    </xf>
    <xf numFmtId="164" fontId="14" fillId="0" borderId="4" xfId="3" applyNumberFormat="1" applyFont="1" applyFill="1" applyBorder="1" applyAlignment="1">
      <alignment horizontal="center"/>
    </xf>
    <xf numFmtId="0" fontId="18" fillId="2" borderId="0" xfId="2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9" fillId="2" borderId="0" xfId="2" applyFont="1" applyFill="1" applyAlignment="1">
      <alignment vertical="center"/>
    </xf>
    <xf numFmtId="49" fontId="20" fillId="2" borderId="10" xfId="2" applyNumberFormat="1" applyFont="1" applyFill="1" applyBorder="1" applyAlignment="1">
      <alignment horizontal="center" vertical="center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center" vertical="center"/>
    </xf>
    <xf numFmtId="0" fontId="20" fillId="2" borderId="17" xfId="2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49" fontId="20" fillId="2" borderId="19" xfId="2" applyNumberFormat="1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right" vertical="center"/>
    </xf>
    <xf numFmtId="0" fontId="17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49" fontId="22" fillId="2" borderId="23" xfId="2" applyNumberFormat="1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right" vertical="center" wrapText="1"/>
    </xf>
    <xf numFmtId="49" fontId="23" fillId="2" borderId="23" xfId="2" applyNumberFormat="1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left" vertical="center" wrapText="1"/>
    </xf>
    <xf numFmtId="0" fontId="16" fillId="2" borderId="4" xfId="2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9" fontId="23" fillId="2" borderId="27" xfId="2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1" fontId="16" fillId="2" borderId="4" xfId="2" applyNumberFormat="1" applyFont="1" applyFill="1" applyBorder="1" applyAlignment="1">
      <alignment horizontal="right" vertical="center" wrapText="1"/>
    </xf>
    <xf numFmtId="0" fontId="16" fillId="2" borderId="22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vertical="center"/>
    </xf>
    <xf numFmtId="0" fontId="16" fillId="2" borderId="25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right" vertical="center" wrapText="1"/>
    </xf>
    <xf numFmtId="0" fontId="16" fillId="2" borderId="26" xfId="2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49" fontId="23" fillId="2" borderId="20" xfId="2" applyNumberFormat="1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49" fontId="22" fillId="2" borderId="27" xfId="2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23" fillId="2" borderId="4" xfId="2" applyNumberFormat="1" applyFont="1" applyFill="1" applyBorder="1" applyAlignment="1">
      <alignment horizontal="center" vertical="center"/>
    </xf>
    <xf numFmtId="0" fontId="23" fillId="2" borderId="4" xfId="2" applyFont="1" applyFill="1" applyBorder="1" applyAlignment="1">
      <alignment horizontal="right" vertical="center"/>
    </xf>
    <xf numFmtId="164" fontId="16" fillId="2" borderId="4" xfId="2" applyNumberFormat="1" applyFont="1" applyFill="1" applyBorder="1" applyAlignment="1">
      <alignment horizontal="right" vertical="center" wrapText="1"/>
    </xf>
    <xf numFmtId="0" fontId="26" fillId="2" borderId="4" xfId="0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/>
    </xf>
    <xf numFmtId="164" fontId="23" fillId="0" borderId="4" xfId="3" applyNumberFormat="1" applyFont="1" applyFill="1" applyBorder="1" applyAlignment="1">
      <alignment horizontal="right"/>
    </xf>
    <xf numFmtId="0" fontId="16" fillId="2" borderId="4" xfId="0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22" fillId="2" borderId="19" xfId="2" applyNumberFormat="1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left" vertical="center" wrapText="1"/>
    </xf>
    <xf numFmtId="1" fontId="1" fillId="2" borderId="4" xfId="2" applyNumberFormat="1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43" fontId="23" fillId="2" borderId="5" xfId="3" applyFont="1" applyFill="1" applyBorder="1" applyAlignment="1">
      <alignment horizontal="center" vertical="center"/>
    </xf>
    <xf numFmtId="49" fontId="23" fillId="2" borderId="19" xfId="2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2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right" vertical="center" wrapText="1"/>
    </xf>
    <xf numFmtId="0" fontId="1" fillId="2" borderId="0" xfId="2" applyFont="1" applyFill="1" applyAlignment="1">
      <alignment horizontal="center" vertical="center"/>
    </xf>
    <xf numFmtId="0" fontId="28" fillId="2" borderId="0" xfId="0" applyFont="1" applyFill="1"/>
    <xf numFmtId="0" fontId="1" fillId="2" borderId="0" xfId="2" applyFont="1" applyFill="1" applyAlignment="1">
      <alignment horizontal="center" vertical="center" wrapText="1"/>
    </xf>
    <xf numFmtId="0" fontId="1" fillId="2" borderId="0" xfId="2" applyFont="1" applyFill="1" applyAlignment="1">
      <alignment horizontal="right" vertical="center" wrapText="1"/>
    </xf>
    <xf numFmtId="0" fontId="17" fillId="2" borderId="29" xfId="2" applyFont="1" applyFill="1" applyBorder="1" applyAlignment="1">
      <alignment vertical="center" wrapText="1"/>
    </xf>
    <xf numFmtId="0" fontId="17" fillId="2" borderId="18" xfId="2" applyFont="1" applyFill="1" applyBorder="1" applyAlignment="1">
      <alignment vertical="center" wrapText="1"/>
    </xf>
    <xf numFmtId="49" fontId="23" fillId="2" borderId="30" xfId="2" applyNumberFormat="1" applyFont="1" applyFill="1" applyBorder="1" applyAlignment="1">
      <alignment horizontal="center" vertical="center"/>
    </xf>
    <xf numFmtId="49" fontId="23" fillId="2" borderId="4" xfId="2" applyNumberFormat="1" applyFont="1" applyFill="1" applyBorder="1" applyAlignment="1">
      <alignment horizontal="center" vertical="center"/>
    </xf>
    <xf numFmtId="0" fontId="26" fillId="2" borderId="29" xfId="2" applyFont="1" applyFill="1" applyBorder="1" applyAlignment="1">
      <alignment horizontal="left" vertical="center" wrapText="1"/>
    </xf>
    <xf numFmtId="0" fontId="16" fillId="2" borderId="18" xfId="2" applyFont="1" applyFill="1" applyBorder="1" applyAlignment="1">
      <alignment horizontal="center" vertical="center" wrapText="1"/>
    </xf>
    <xf numFmtId="0" fontId="26" fillId="2" borderId="18" xfId="2" applyFont="1" applyFill="1" applyBorder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49" fontId="22" fillId="2" borderId="20" xfId="2" applyNumberFormat="1" applyFont="1" applyFill="1" applyBorder="1" applyAlignment="1">
      <alignment horizontal="center" vertical="center"/>
    </xf>
    <xf numFmtId="0" fontId="1" fillId="2" borderId="25" xfId="2" applyFont="1" applyFill="1" applyBorder="1" applyAlignment="1">
      <alignment horizontal="center" vertical="center"/>
    </xf>
    <xf numFmtId="0" fontId="1" fillId="2" borderId="25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right" vertical="center" wrapText="1"/>
    </xf>
    <xf numFmtId="0" fontId="1" fillId="2" borderId="26" xfId="2" applyFont="1" applyFill="1" applyBorder="1" applyAlignment="1">
      <alignment horizontal="center" vertical="center" wrapText="1"/>
    </xf>
    <xf numFmtId="164" fontId="23" fillId="0" borderId="4" xfId="1" applyNumberFormat="1" applyFont="1" applyFill="1" applyBorder="1" applyAlignment="1">
      <alignment horizontal="right" vertical="center"/>
    </xf>
    <xf numFmtId="0" fontId="17" fillId="2" borderId="29" xfId="2" applyFont="1" applyFill="1" applyBorder="1" applyAlignment="1">
      <alignment vertical="center"/>
    </xf>
    <xf numFmtId="0" fontId="17" fillId="2" borderId="18" xfId="2" applyFont="1" applyFill="1" applyBorder="1" applyAlignment="1">
      <alignment vertical="center"/>
    </xf>
    <xf numFmtId="43" fontId="22" fillId="2" borderId="5" xfId="3" applyFont="1" applyFill="1" applyBorder="1" applyAlignment="1">
      <alignment horizontal="center" vertical="center"/>
    </xf>
    <xf numFmtId="164" fontId="29" fillId="0" borderId="4" xfId="1" applyNumberFormat="1" applyFont="1" applyFill="1" applyBorder="1" applyAlignment="1">
      <alignment horizontal="right" vertical="center"/>
    </xf>
    <xf numFmtId="164" fontId="1" fillId="2" borderId="4" xfId="2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49" fontId="23" fillId="2" borderId="31" xfId="2" applyNumberFormat="1" applyFont="1" applyFill="1" applyBorder="1" applyAlignment="1">
      <alignment horizontal="center" vertical="center"/>
    </xf>
    <xf numFmtId="3" fontId="23" fillId="2" borderId="5" xfId="2" applyNumberFormat="1" applyFont="1" applyFill="1" applyBorder="1" applyAlignment="1">
      <alignment horizontal="center" vertical="center"/>
    </xf>
    <xf numFmtId="3" fontId="23" fillId="2" borderId="3" xfId="2" applyNumberFormat="1" applyFont="1" applyFill="1" applyBorder="1" applyAlignment="1">
      <alignment horizontal="center" vertical="center"/>
    </xf>
    <xf numFmtId="49" fontId="23" fillId="2" borderId="5" xfId="2" applyNumberFormat="1" applyFont="1" applyFill="1" applyBorder="1" applyAlignment="1">
      <alignment horizontal="center" vertical="center"/>
    </xf>
    <xf numFmtId="49" fontId="23" fillId="2" borderId="3" xfId="2" applyNumberFormat="1" applyFont="1" applyFill="1" applyBorder="1" applyAlignment="1">
      <alignment horizontal="center" vertical="center"/>
    </xf>
    <xf numFmtId="49" fontId="22" fillId="2" borderId="0" xfId="2" applyNumberFormat="1" applyFont="1" applyFill="1" applyAlignment="1">
      <alignment horizontal="center" vertical="center"/>
    </xf>
    <xf numFmtId="3" fontId="22" fillId="2" borderId="3" xfId="2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3" fontId="22" fillId="2" borderId="5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16" fillId="2" borderId="4" xfId="0" applyFont="1" applyFill="1" applyBorder="1" applyAlignment="1">
      <alignment vertical="center" wrapText="1"/>
    </xf>
    <xf numFmtId="0" fontId="5" fillId="2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9" fontId="5" fillId="4" borderId="2" xfId="2" applyNumberFormat="1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 wrapText="1"/>
    </xf>
    <xf numFmtId="43" fontId="5" fillId="4" borderId="4" xfId="3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horizontal="center" vertical="center"/>
    </xf>
    <xf numFmtId="164" fontId="5" fillId="4" borderId="4" xfId="3" applyNumberFormat="1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49" fontId="4" fillId="4" borderId="4" xfId="2" applyNumberFormat="1" applyFont="1" applyFill="1" applyBorder="1" applyAlignment="1">
      <alignment horizontal="center"/>
    </xf>
    <xf numFmtId="0" fontId="5" fillId="4" borderId="5" xfId="2" applyFont="1" applyFill="1" applyBorder="1"/>
    <xf numFmtId="0" fontId="5" fillId="4" borderId="4" xfId="2" applyFont="1" applyFill="1" applyBorder="1"/>
    <xf numFmtId="164" fontId="5" fillId="4" borderId="4" xfId="2" applyNumberFormat="1" applyFont="1" applyFill="1" applyBorder="1"/>
    <xf numFmtId="164" fontId="5" fillId="4" borderId="4" xfId="1" applyNumberFormat="1" applyFont="1" applyFill="1" applyBorder="1"/>
    <xf numFmtId="164" fontId="5" fillId="4" borderId="4" xfId="1" applyNumberFormat="1" applyFont="1" applyFill="1" applyBorder="1" applyAlignment="1">
      <alignment horizontal="center"/>
    </xf>
    <xf numFmtId="164" fontId="5" fillId="4" borderId="4" xfId="3" applyNumberFormat="1" applyFont="1" applyFill="1" applyBorder="1"/>
    <xf numFmtId="43" fontId="5" fillId="4" borderId="4" xfId="2" applyNumberFormat="1" applyFont="1" applyFill="1" applyBorder="1"/>
    <xf numFmtId="43" fontId="16" fillId="2" borderId="5" xfId="0" applyNumberFormat="1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0" fontId="17" fillId="2" borderId="29" xfId="2" applyFont="1" applyFill="1" applyBorder="1" applyAlignment="1">
      <alignment horizontal="center" vertical="center" wrapText="1"/>
    </xf>
    <xf numFmtId="0" fontId="17" fillId="2" borderId="29" xfId="2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7" fillId="2" borderId="24" xfId="0" applyFont="1" applyFill="1" applyBorder="1"/>
    <xf numFmtId="0" fontId="4" fillId="2" borderId="7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0" fillId="2" borderId="5" xfId="2" applyFont="1" applyFill="1" applyBorder="1" applyAlignment="1">
      <alignment horizontal="left" vertical="center" wrapText="1"/>
    </xf>
    <xf numFmtId="0" fontId="10" fillId="0" borderId="32" xfId="2" applyFont="1" applyBorder="1" applyAlignment="1">
      <alignment horizontal="left" vertical="center"/>
    </xf>
    <xf numFmtId="0" fontId="10" fillId="0" borderId="32" xfId="2" applyFont="1" applyBorder="1" applyAlignment="1">
      <alignment horizontal="left" vertical="center" wrapText="1"/>
    </xf>
    <xf numFmtId="0" fontId="9" fillId="2" borderId="5" xfId="2" applyFont="1" applyFill="1" applyBorder="1" applyAlignment="1">
      <alignment horizontal="left" vertical="center" wrapText="1"/>
    </xf>
    <xf numFmtId="0" fontId="10" fillId="0" borderId="32" xfId="2" applyFont="1" applyBorder="1" applyAlignment="1">
      <alignment horizontal="center" vertical="center"/>
    </xf>
    <xf numFmtId="0" fontId="29" fillId="2" borderId="4" xfId="2" applyFont="1" applyFill="1" applyBorder="1"/>
    <xf numFmtId="0" fontId="10" fillId="2" borderId="4" xfId="2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4" fillId="2" borderId="5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164" fontId="4" fillId="2" borderId="4" xfId="2" applyNumberFormat="1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43" fontId="4" fillId="2" borderId="4" xfId="2" applyNumberFormat="1" applyFont="1" applyFill="1" applyBorder="1" applyAlignment="1">
      <alignment vertical="center"/>
    </xf>
    <xf numFmtId="164" fontId="8" fillId="2" borderId="4" xfId="2" applyNumberFormat="1" applyFont="1" applyFill="1" applyBorder="1" applyAlignment="1">
      <alignment vertical="center"/>
    </xf>
    <xf numFmtId="0" fontId="0" fillId="2" borderId="4" xfId="2" applyFont="1" applyFill="1" applyBorder="1" applyAlignment="1">
      <alignment horizontal="right" vertical="center" wrapText="1"/>
    </xf>
    <xf numFmtId="166" fontId="0" fillId="2" borderId="4" xfId="2" applyNumberFormat="1" applyFont="1" applyFill="1" applyBorder="1" applyAlignment="1">
      <alignment horizontal="center" vertical="center" wrapText="1"/>
    </xf>
    <xf numFmtId="2" fontId="0" fillId="2" borderId="4" xfId="2" applyNumberFormat="1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/>
    </xf>
    <xf numFmtId="0" fontId="32" fillId="2" borderId="4" xfId="2" applyFont="1" applyFill="1" applyBorder="1" applyAlignment="1">
      <alignment horizontal="center" vertical="center" wrapText="1"/>
    </xf>
    <xf numFmtId="1" fontId="32" fillId="2" borderId="4" xfId="2" applyNumberFormat="1" applyFont="1" applyFill="1" applyBorder="1" applyAlignment="1">
      <alignment horizontal="right" vertical="center" wrapText="1"/>
    </xf>
    <xf numFmtId="0" fontId="10" fillId="2" borderId="4" xfId="2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164" fontId="22" fillId="2" borderId="4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4" xfId="2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167" fontId="0" fillId="2" borderId="7" xfId="0" applyNumberFormat="1" applyFill="1" applyBorder="1" applyAlignment="1">
      <alignment horizontal="center" vertical="center"/>
    </xf>
    <xf numFmtId="0" fontId="17" fillId="4" borderId="4" xfId="0" applyFont="1" applyFill="1" applyBorder="1"/>
    <xf numFmtId="0" fontId="0" fillId="0" borderId="4" xfId="0" applyBorder="1"/>
    <xf numFmtId="0" fontId="17" fillId="5" borderId="4" xfId="0" applyFont="1" applyFill="1" applyBorder="1"/>
    <xf numFmtId="2" fontId="0" fillId="2" borderId="7" xfId="0" applyNumberFormat="1" applyFill="1" applyBorder="1" applyAlignment="1">
      <alignment horizontal="center" vertical="center"/>
    </xf>
    <xf numFmtId="9" fontId="0" fillId="0" borderId="0" xfId="7" applyFont="1"/>
    <xf numFmtId="0" fontId="0" fillId="0" borderId="4" xfId="0" applyBorder="1" applyAlignment="1">
      <alignment horizontal="left"/>
    </xf>
    <xf numFmtId="1" fontId="0" fillId="0" borderId="4" xfId="0" applyNumberFormat="1" applyBorder="1"/>
    <xf numFmtId="1" fontId="0" fillId="6" borderId="4" xfId="0" applyNumberFormat="1" applyFill="1" applyBorder="1"/>
    <xf numFmtId="167" fontId="0" fillId="2" borderId="4" xfId="2" applyNumberFormat="1" applyFont="1" applyFill="1" applyBorder="1" applyAlignment="1">
      <alignment horizontal="center" vertical="center" wrapText="1"/>
    </xf>
    <xf numFmtId="166" fontId="0" fillId="2" borderId="7" xfId="0" applyNumberFormat="1" applyFill="1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left"/>
    </xf>
    <xf numFmtId="0" fontId="16" fillId="0" borderId="4" xfId="0" applyFont="1" applyBorder="1"/>
    <xf numFmtId="1" fontId="16" fillId="0" borderId="4" xfId="0" applyNumberFormat="1" applyFont="1" applyBorder="1"/>
    <xf numFmtId="0" fontId="17" fillId="4" borderId="4" xfId="0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vertical="center"/>
    </xf>
    <xf numFmtId="0" fontId="17" fillId="0" borderId="0" xfId="0" applyFont="1"/>
    <xf numFmtId="9" fontId="4" fillId="2" borderId="0" xfId="7" applyFont="1" applyFill="1"/>
    <xf numFmtId="0" fontId="0" fillId="0" borderId="4" xfId="0" applyBorder="1" applyAlignment="1">
      <alignment horizontal="right"/>
    </xf>
    <xf numFmtId="0" fontId="0" fillId="6" borderId="4" xfId="0" applyFill="1" applyBorder="1"/>
    <xf numFmtId="0" fontId="4" fillId="2" borderId="4" xfId="2" applyFont="1" applyFill="1" applyBorder="1" applyAlignment="1">
      <alignment horizontal="right"/>
    </xf>
    <xf numFmtId="0" fontId="29" fillId="2" borderId="4" xfId="2" applyFont="1" applyFill="1" applyBorder="1" applyAlignment="1">
      <alignment vertical="center"/>
    </xf>
    <xf numFmtId="164" fontId="29" fillId="2" borderId="4" xfId="2" applyNumberFormat="1" applyFont="1" applyFill="1" applyBorder="1" applyAlignment="1">
      <alignment vertical="center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justify" vertical="center" wrapText="1"/>
    </xf>
    <xf numFmtId="0" fontId="37" fillId="0" borderId="36" xfId="0" applyFont="1" applyBorder="1" applyAlignment="1">
      <alignment horizontal="justify" vertical="center" wrapText="1"/>
    </xf>
    <xf numFmtId="0" fontId="37" fillId="0" borderId="36" xfId="0" applyFont="1" applyBorder="1" applyAlignment="1">
      <alignment horizontal="center" vertical="center" wrapText="1"/>
    </xf>
    <xf numFmtId="4" fontId="37" fillId="0" borderId="36" xfId="0" applyNumberFormat="1" applyFont="1" applyBorder="1" applyAlignment="1">
      <alignment horizontal="right" vertical="center" wrapText="1"/>
    </xf>
    <xf numFmtId="0" fontId="37" fillId="0" borderId="36" xfId="0" applyFont="1" applyBorder="1" applyAlignment="1">
      <alignment horizontal="right" vertical="center" wrapText="1"/>
    </xf>
    <xf numFmtId="4" fontId="38" fillId="0" borderId="36" xfId="0" applyNumberFormat="1" applyFont="1" applyBorder="1" applyAlignment="1">
      <alignment horizontal="justify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15" fillId="2" borderId="0" xfId="2" applyFont="1" applyFill="1" applyAlignment="1">
      <alignment horizontal="center"/>
    </xf>
    <xf numFmtId="0" fontId="15" fillId="2" borderId="1" xfId="2" applyFont="1" applyFill="1" applyBorder="1" applyAlignment="1">
      <alignment horizontal="center"/>
    </xf>
    <xf numFmtId="0" fontId="5" fillId="4" borderId="4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left" vertical="center"/>
    </xf>
    <xf numFmtId="0" fontId="17" fillId="2" borderId="25" xfId="2" applyFont="1" applyFill="1" applyBorder="1" applyAlignment="1">
      <alignment horizontal="left" vertical="center"/>
    </xf>
    <xf numFmtId="0" fontId="17" fillId="2" borderId="26" xfId="2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left"/>
    </xf>
    <xf numFmtId="0" fontId="17" fillId="2" borderId="20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17" fillId="2" borderId="21" xfId="2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left"/>
    </xf>
    <xf numFmtId="0" fontId="27" fillId="2" borderId="20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27" fillId="2" borderId="21" xfId="0" applyFont="1" applyFill="1" applyBorder="1" applyAlignment="1">
      <alignment horizontal="left"/>
    </xf>
    <xf numFmtId="0" fontId="17" fillId="2" borderId="28" xfId="2" applyFont="1" applyFill="1" applyBorder="1" applyAlignment="1">
      <alignment horizontal="left" vertical="center" wrapText="1"/>
    </xf>
    <xf numFmtId="0" fontId="17" fillId="2" borderId="1" xfId="2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/>
    </xf>
    <xf numFmtId="0" fontId="17" fillId="2" borderId="25" xfId="0" applyFont="1" applyFill="1" applyBorder="1" applyAlignment="1">
      <alignment horizontal="left" vertical="center"/>
    </xf>
    <xf numFmtId="0" fontId="17" fillId="2" borderId="26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21" xfId="0" applyFont="1" applyFill="1" applyBorder="1" applyAlignment="1">
      <alignment horizontal="left" vertical="center"/>
    </xf>
    <xf numFmtId="0" fontId="17" fillId="2" borderId="24" xfId="2" applyFont="1" applyFill="1" applyBorder="1" applyAlignment="1">
      <alignment horizontal="left" vertical="center" wrapText="1"/>
    </xf>
    <xf numFmtId="0" fontId="17" fillId="2" borderId="25" xfId="2" applyFont="1" applyFill="1" applyBorder="1" applyAlignment="1">
      <alignment horizontal="left" vertical="center" wrapText="1"/>
    </xf>
    <xf numFmtId="0" fontId="17" fillId="2" borderId="24" xfId="2" applyFont="1" applyFill="1" applyBorder="1" applyAlignment="1">
      <alignment horizontal="left"/>
    </xf>
    <xf numFmtId="0" fontId="17" fillId="2" borderId="25" xfId="2" applyFont="1" applyFill="1" applyBorder="1" applyAlignment="1">
      <alignment horizontal="left"/>
    </xf>
    <xf numFmtId="0" fontId="17" fillId="2" borderId="26" xfId="2" applyFont="1" applyFill="1" applyBorder="1" applyAlignment="1">
      <alignment horizontal="left"/>
    </xf>
    <xf numFmtId="0" fontId="18" fillId="2" borderId="8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9" fillId="2" borderId="9" xfId="2" applyFont="1" applyFill="1" applyBorder="1" applyAlignment="1">
      <alignment horizontal="center" vertical="center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16" fillId="0" borderId="4" xfId="0" applyFont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Border="1" applyAlignment="1">
      <alignment horizontal="center"/>
    </xf>
    <xf numFmtId="0" fontId="34" fillId="0" borderId="0" xfId="0" applyFont="1" applyAlignment="1">
      <alignment horizontal="center"/>
    </xf>
    <xf numFmtId="0" fontId="36" fillId="0" borderId="37" xfId="0" applyFont="1" applyBorder="1" applyAlignment="1">
      <alignment horizontal="right" vertical="center" wrapText="1"/>
    </xf>
    <xf numFmtId="0" fontId="36" fillId="0" borderId="38" xfId="0" applyFont="1" applyBorder="1" applyAlignment="1">
      <alignment horizontal="right" vertical="center" wrapText="1"/>
    </xf>
    <xf numFmtId="0" fontId="36" fillId="0" borderId="34" xfId="0" applyFont="1" applyBorder="1" applyAlignment="1">
      <alignment horizontal="right" vertical="center" wrapText="1"/>
    </xf>
  </cellXfs>
  <cellStyles count="8">
    <cellStyle name="Comma" xfId="1" builtinId="3"/>
    <cellStyle name="Comma 2" xfId="3" xr:uid="{00000000-0005-0000-0000-000001000000}"/>
    <cellStyle name="Comma 3" xfId="6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3" xfId="5" xr:uid="{00000000-0005-0000-0000-000006000000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K86"/>
  <sheetViews>
    <sheetView zoomScale="90" zoomScaleNormal="90" workbookViewId="0">
      <pane xSplit="21" ySplit="4" topLeftCell="Y17" activePane="bottomRight" state="frozen"/>
      <selection pane="topRight" activeCell="V1" sqref="V1"/>
      <selection pane="bottomLeft" activeCell="A5" sqref="A5"/>
      <selection pane="bottomRight" activeCell="AB30" sqref="AB30"/>
    </sheetView>
  </sheetViews>
  <sheetFormatPr defaultRowHeight="27" customHeight="1" x14ac:dyDescent="0.25"/>
  <cols>
    <col min="1" max="2" width="9.140625" style="1"/>
    <col min="3" max="3" width="6.5703125" style="78" customWidth="1"/>
    <col min="4" max="4" width="24.85546875" style="1" customWidth="1"/>
    <col min="5" max="5" width="19" style="1" customWidth="1"/>
    <col min="6" max="6" width="13" style="1" hidden="1" customWidth="1"/>
    <col min="7" max="7" width="13.5703125" style="1" hidden="1" customWidth="1"/>
    <col min="8" max="8" width="11" style="1" hidden="1" customWidth="1"/>
    <col min="9" max="9" width="10.5703125" style="1" hidden="1" customWidth="1"/>
    <col min="10" max="10" width="10" style="1" hidden="1" customWidth="1"/>
    <col min="11" max="11" width="8.5703125" style="1" hidden="1" customWidth="1"/>
    <col min="12" max="12" width="10.7109375" style="79" hidden="1" customWidth="1"/>
    <col min="13" max="13" width="9.42578125" style="80" hidden="1" customWidth="1"/>
    <col min="14" max="14" width="14.5703125" style="81" hidden="1" customWidth="1"/>
    <col min="15" max="15" width="6.7109375" style="82" hidden="1" customWidth="1"/>
    <col min="16" max="16" width="9" style="81" hidden="1" customWidth="1"/>
    <col min="17" max="17" width="6.85546875" style="81" hidden="1" customWidth="1"/>
    <col min="18" max="18" width="10.5703125" style="82" hidden="1" customWidth="1"/>
    <col min="19" max="19" width="12.28515625" style="1" hidden="1" customWidth="1"/>
    <col min="20" max="20" width="12.5703125" style="1" hidden="1" customWidth="1"/>
    <col min="21" max="21" width="0.28515625" style="1" customWidth="1"/>
    <col min="22" max="22" width="12.85546875" style="1" customWidth="1"/>
    <col min="23" max="23" width="10.5703125" style="213" customWidth="1"/>
    <col min="24" max="24" width="10" style="1" hidden="1" customWidth="1"/>
    <col min="25" max="25" width="11.42578125" style="1" customWidth="1"/>
    <col min="26" max="26" width="14.5703125" style="1" customWidth="1"/>
    <col min="27" max="27" width="12.7109375" style="1" hidden="1" customWidth="1"/>
    <col min="28" max="28" width="9" style="1" customWidth="1"/>
    <col min="29" max="30" width="14.5703125" style="1" customWidth="1"/>
    <col min="31" max="31" width="15.140625" style="1" customWidth="1"/>
    <col min="32" max="32" width="9.140625" style="1" customWidth="1"/>
    <col min="33" max="33" width="12.42578125" style="1" bestFit="1" customWidth="1"/>
    <col min="34" max="36" width="9.140625" style="1"/>
    <col min="37" max="37" width="10" style="1" bestFit="1" customWidth="1"/>
    <col min="38" max="253" width="9.140625" style="1"/>
    <col min="254" max="254" width="5.140625" style="1" customWidth="1"/>
    <col min="255" max="255" width="33.5703125" style="1" customWidth="1"/>
    <col min="256" max="256" width="25.85546875" style="1" customWidth="1"/>
    <col min="257" max="257" width="0" style="1" hidden="1" customWidth="1"/>
    <col min="258" max="258" width="14.85546875" style="1" customWidth="1"/>
    <col min="259" max="259" width="13.85546875" style="1" customWidth="1"/>
    <col min="260" max="260" width="12.140625" style="1" customWidth="1"/>
    <col min="261" max="261" width="13.7109375" style="1" customWidth="1"/>
    <col min="262" max="262" width="8.5703125" style="1" customWidth="1"/>
    <col min="263" max="263" width="13" style="1" customWidth="1"/>
    <col min="264" max="264" width="9" style="1" customWidth="1"/>
    <col min="265" max="265" width="6.7109375" style="1" customWidth="1"/>
    <col min="266" max="266" width="9" style="1" customWidth="1"/>
    <col min="267" max="267" width="6.85546875" style="1" customWidth="1"/>
    <col min="268" max="268" width="10.5703125" style="1" customWidth="1"/>
    <col min="269" max="269" width="12.28515625" style="1" customWidth="1"/>
    <col min="270" max="270" width="12.5703125" style="1" customWidth="1"/>
    <col min="271" max="271" width="1.5703125" style="1" customWidth="1"/>
    <col min="272" max="272" width="45.140625" style="1" customWidth="1"/>
    <col min="273" max="273" width="13.140625" style="1" customWidth="1"/>
    <col min="274" max="274" width="10.28515625" style="1" bestFit="1" customWidth="1"/>
    <col min="275" max="275" width="16.28515625" style="1" bestFit="1" customWidth="1"/>
    <col min="276" max="276" width="11.28515625" style="1" bestFit="1" customWidth="1"/>
    <col min="277" max="509" width="9.140625" style="1"/>
    <col min="510" max="510" width="5.140625" style="1" customWidth="1"/>
    <col min="511" max="511" width="33.5703125" style="1" customWidth="1"/>
    <col min="512" max="512" width="25.85546875" style="1" customWidth="1"/>
    <col min="513" max="513" width="0" style="1" hidden="1" customWidth="1"/>
    <col min="514" max="514" width="14.85546875" style="1" customWidth="1"/>
    <col min="515" max="515" width="13.85546875" style="1" customWidth="1"/>
    <col min="516" max="516" width="12.140625" style="1" customWidth="1"/>
    <col min="517" max="517" width="13.7109375" style="1" customWidth="1"/>
    <col min="518" max="518" width="8.5703125" style="1" customWidth="1"/>
    <col min="519" max="519" width="13" style="1" customWidth="1"/>
    <col min="520" max="520" width="9" style="1" customWidth="1"/>
    <col min="521" max="521" width="6.7109375" style="1" customWidth="1"/>
    <col min="522" max="522" width="9" style="1" customWidth="1"/>
    <col min="523" max="523" width="6.85546875" style="1" customWidth="1"/>
    <col min="524" max="524" width="10.5703125" style="1" customWidth="1"/>
    <col min="525" max="525" width="12.28515625" style="1" customWidth="1"/>
    <col min="526" max="526" width="12.5703125" style="1" customWidth="1"/>
    <col min="527" max="527" width="1.5703125" style="1" customWidth="1"/>
    <col min="528" max="528" width="45.140625" style="1" customWidth="1"/>
    <col min="529" max="529" width="13.140625" style="1" customWidth="1"/>
    <col min="530" max="530" width="10.28515625" style="1" bestFit="1" customWidth="1"/>
    <col min="531" max="531" width="16.28515625" style="1" bestFit="1" customWidth="1"/>
    <col min="532" max="532" width="11.28515625" style="1" bestFit="1" customWidth="1"/>
    <col min="533" max="765" width="9.140625" style="1"/>
    <col min="766" max="766" width="5.140625" style="1" customWidth="1"/>
    <col min="767" max="767" width="33.5703125" style="1" customWidth="1"/>
    <col min="768" max="768" width="25.85546875" style="1" customWidth="1"/>
    <col min="769" max="769" width="0" style="1" hidden="1" customWidth="1"/>
    <col min="770" max="770" width="14.85546875" style="1" customWidth="1"/>
    <col min="771" max="771" width="13.85546875" style="1" customWidth="1"/>
    <col min="772" max="772" width="12.140625" style="1" customWidth="1"/>
    <col min="773" max="773" width="13.7109375" style="1" customWidth="1"/>
    <col min="774" max="774" width="8.5703125" style="1" customWidth="1"/>
    <col min="775" max="775" width="13" style="1" customWidth="1"/>
    <col min="776" max="776" width="9" style="1" customWidth="1"/>
    <col min="777" max="777" width="6.7109375" style="1" customWidth="1"/>
    <col min="778" max="778" width="9" style="1" customWidth="1"/>
    <col min="779" max="779" width="6.85546875" style="1" customWidth="1"/>
    <col min="780" max="780" width="10.5703125" style="1" customWidth="1"/>
    <col min="781" max="781" width="12.28515625" style="1" customWidth="1"/>
    <col min="782" max="782" width="12.5703125" style="1" customWidth="1"/>
    <col min="783" max="783" width="1.5703125" style="1" customWidth="1"/>
    <col min="784" max="784" width="45.140625" style="1" customWidth="1"/>
    <col min="785" max="785" width="13.140625" style="1" customWidth="1"/>
    <col min="786" max="786" width="10.28515625" style="1" bestFit="1" customWidth="1"/>
    <col min="787" max="787" width="16.28515625" style="1" bestFit="1" customWidth="1"/>
    <col min="788" max="788" width="11.28515625" style="1" bestFit="1" customWidth="1"/>
    <col min="789" max="1021" width="9.140625" style="1"/>
    <col min="1022" max="1022" width="5.140625" style="1" customWidth="1"/>
    <col min="1023" max="1023" width="33.5703125" style="1" customWidth="1"/>
    <col min="1024" max="1024" width="25.85546875" style="1" customWidth="1"/>
    <col min="1025" max="1025" width="0" style="1" hidden="1" customWidth="1"/>
    <col min="1026" max="1026" width="14.85546875" style="1" customWidth="1"/>
    <col min="1027" max="1027" width="13.85546875" style="1" customWidth="1"/>
    <col min="1028" max="1028" width="12.140625" style="1" customWidth="1"/>
    <col min="1029" max="1029" width="13.7109375" style="1" customWidth="1"/>
    <col min="1030" max="1030" width="8.5703125" style="1" customWidth="1"/>
    <col min="1031" max="1031" width="13" style="1" customWidth="1"/>
    <col min="1032" max="1032" width="9" style="1" customWidth="1"/>
    <col min="1033" max="1033" width="6.7109375" style="1" customWidth="1"/>
    <col min="1034" max="1034" width="9" style="1" customWidth="1"/>
    <col min="1035" max="1035" width="6.85546875" style="1" customWidth="1"/>
    <col min="1036" max="1036" width="10.5703125" style="1" customWidth="1"/>
    <col min="1037" max="1037" width="12.28515625" style="1" customWidth="1"/>
    <col min="1038" max="1038" width="12.5703125" style="1" customWidth="1"/>
    <col min="1039" max="1039" width="1.5703125" style="1" customWidth="1"/>
    <col min="1040" max="1040" width="45.140625" style="1" customWidth="1"/>
    <col min="1041" max="1041" width="13.140625" style="1" customWidth="1"/>
    <col min="1042" max="1042" width="10.28515625" style="1" bestFit="1" customWidth="1"/>
    <col min="1043" max="1043" width="16.28515625" style="1" bestFit="1" customWidth="1"/>
    <col min="1044" max="1044" width="11.28515625" style="1" bestFit="1" customWidth="1"/>
    <col min="1045" max="1277" width="9.140625" style="1"/>
    <col min="1278" max="1278" width="5.140625" style="1" customWidth="1"/>
    <col min="1279" max="1279" width="33.5703125" style="1" customWidth="1"/>
    <col min="1280" max="1280" width="25.85546875" style="1" customWidth="1"/>
    <col min="1281" max="1281" width="0" style="1" hidden="1" customWidth="1"/>
    <col min="1282" max="1282" width="14.85546875" style="1" customWidth="1"/>
    <col min="1283" max="1283" width="13.85546875" style="1" customWidth="1"/>
    <col min="1284" max="1284" width="12.140625" style="1" customWidth="1"/>
    <col min="1285" max="1285" width="13.7109375" style="1" customWidth="1"/>
    <col min="1286" max="1286" width="8.5703125" style="1" customWidth="1"/>
    <col min="1287" max="1287" width="13" style="1" customWidth="1"/>
    <col min="1288" max="1288" width="9" style="1" customWidth="1"/>
    <col min="1289" max="1289" width="6.7109375" style="1" customWidth="1"/>
    <col min="1290" max="1290" width="9" style="1" customWidth="1"/>
    <col min="1291" max="1291" width="6.85546875" style="1" customWidth="1"/>
    <col min="1292" max="1292" width="10.5703125" style="1" customWidth="1"/>
    <col min="1293" max="1293" width="12.28515625" style="1" customWidth="1"/>
    <col min="1294" max="1294" width="12.5703125" style="1" customWidth="1"/>
    <col min="1295" max="1295" width="1.5703125" style="1" customWidth="1"/>
    <col min="1296" max="1296" width="45.140625" style="1" customWidth="1"/>
    <col min="1297" max="1297" width="13.140625" style="1" customWidth="1"/>
    <col min="1298" max="1298" width="10.28515625" style="1" bestFit="1" customWidth="1"/>
    <col min="1299" max="1299" width="16.28515625" style="1" bestFit="1" customWidth="1"/>
    <col min="1300" max="1300" width="11.28515625" style="1" bestFit="1" customWidth="1"/>
    <col min="1301" max="1533" width="9.140625" style="1"/>
    <col min="1534" max="1534" width="5.140625" style="1" customWidth="1"/>
    <col min="1535" max="1535" width="33.5703125" style="1" customWidth="1"/>
    <col min="1536" max="1536" width="25.85546875" style="1" customWidth="1"/>
    <col min="1537" max="1537" width="0" style="1" hidden="1" customWidth="1"/>
    <col min="1538" max="1538" width="14.85546875" style="1" customWidth="1"/>
    <col min="1539" max="1539" width="13.85546875" style="1" customWidth="1"/>
    <col min="1540" max="1540" width="12.140625" style="1" customWidth="1"/>
    <col min="1541" max="1541" width="13.7109375" style="1" customWidth="1"/>
    <col min="1542" max="1542" width="8.5703125" style="1" customWidth="1"/>
    <col min="1543" max="1543" width="13" style="1" customWidth="1"/>
    <col min="1544" max="1544" width="9" style="1" customWidth="1"/>
    <col min="1545" max="1545" width="6.7109375" style="1" customWidth="1"/>
    <col min="1546" max="1546" width="9" style="1" customWidth="1"/>
    <col min="1547" max="1547" width="6.85546875" style="1" customWidth="1"/>
    <col min="1548" max="1548" width="10.5703125" style="1" customWidth="1"/>
    <col min="1549" max="1549" width="12.28515625" style="1" customWidth="1"/>
    <col min="1550" max="1550" width="12.5703125" style="1" customWidth="1"/>
    <col min="1551" max="1551" width="1.5703125" style="1" customWidth="1"/>
    <col min="1552" max="1552" width="45.140625" style="1" customWidth="1"/>
    <col min="1553" max="1553" width="13.140625" style="1" customWidth="1"/>
    <col min="1554" max="1554" width="10.28515625" style="1" bestFit="1" customWidth="1"/>
    <col min="1555" max="1555" width="16.28515625" style="1" bestFit="1" customWidth="1"/>
    <col min="1556" max="1556" width="11.28515625" style="1" bestFit="1" customWidth="1"/>
    <col min="1557" max="1789" width="9.140625" style="1"/>
    <col min="1790" max="1790" width="5.140625" style="1" customWidth="1"/>
    <col min="1791" max="1791" width="33.5703125" style="1" customWidth="1"/>
    <col min="1792" max="1792" width="25.85546875" style="1" customWidth="1"/>
    <col min="1793" max="1793" width="0" style="1" hidden="1" customWidth="1"/>
    <col min="1794" max="1794" width="14.85546875" style="1" customWidth="1"/>
    <col min="1795" max="1795" width="13.85546875" style="1" customWidth="1"/>
    <col min="1796" max="1796" width="12.140625" style="1" customWidth="1"/>
    <col min="1797" max="1797" width="13.7109375" style="1" customWidth="1"/>
    <col min="1798" max="1798" width="8.5703125" style="1" customWidth="1"/>
    <col min="1799" max="1799" width="13" style="1" customWidth="1"/>
    <col min="1800" max="1800" width="9" style="1" customWidth="1"/>
    <col min="1801" max="1801" width="6.7109375" style="1" customWidth="1"/>
    <col min="1802" max="1802" width="9" style="1" customWidth="1"/>
    <col min="1803" max="1803" width="6.85546875" style="1" customWidth="1"/>
    <col min="1804" max="1804" width="10.5703125" style="1" customWidth="1"/>
    <col min="1805" max="1805" width="12.28515625" style="1" customWidth="1"/>
    <col min="1806" max="1806" width="12.5703125" style="1" customWidth="1"/>
    <col min="1807" max="1807" width="1.5703125" style="1" customWidth="1"/>
    <col min="1808" max="1808" width="45.140625" style="1" customWidth="1"/>
    <col min="1809" max="1809" width="13.140625" style="1" customWidth="1"/>
    <col min="1810" max="1810" width="10.28515625" style="1" bestFit="1" customWidth="1"/>
    <col min="1811" max="1811" width="16.28515625" style="1" bestFit="1" customWidth="1"/>
    <col min="1812" max="1812" width="11.28515625" style="1" bestFit="1" customWidth="1"/>
    <col min="1813" max="2045" width="9.140625" style="1"/>
    <col min="2046" max="2046" width="5.140625" style="1" customWidth="1"/>
    <col min="2047" max="2047" width="33.5703125" style="1" customWidth="1"/>
    <col min="2048" max="2048" width="25.85546875" style="1" customWidth="1"/>
    <col min="2049" max="2049" width="0" style="1" hidden="1" customWidth="1"/>
    <col min="2050" max="2050" width="14.85546875" style="1" customWidth="1"/>
    <col min="2051" max="2051" width="13.85546875" style="1" customWidth="1"/>
    <col min="2052" max="2052" width="12.140625" style="1" customWidth="1"/>
    <col min="2053" max="2053" width="13.7109375" style="1" customWidth="1"/>
    <col min="2054" max="2054" width="8.5703125" style="1" customWidth="1"/>
    <col min="2055" max="2055" width="13" style="1" customWidth="1"/>
    <col min="2056" max="2056" width="9" style="1" customWidth="1"/>
    <col min="2057" max="2057" width="6.7109375" style="1" customWidth="1"/>
    <col min="2058" max="2058" width="9" style="1" customWidth="1"/>
    <col min="2059" max="2059" width="6.85546875" style="1" customWidth="1"/>
    <col min="2060" max="2060" width="10.5703125" style="1" customWidth="1"/>
    <col min="2061" max="2061" width="12.28515625" style="1" customWidth="1"/>
    <col min="2062" max="2062" width="12.5703125" style="1" customWidth="1"/>
    <col min="2063" max="2063" width="1.5703125" style="1" customWidth="1"/>
    <col min="2064" max="2064" width="45.140625" style="1" customWidth="1"/>
    <col min="2065" max="2065" width="13.140625" style="1" customWidth="1"/>
    <col min="2066" max="2066" width="10.28515625" style="1" bestFit="1" customWidth="1"/>
    <col min="2067" max="2067" width="16.28515625" style="1" bestFit="1" customWidth="1"/>
    <col min="2068" max="2068" width="11.28515625" style="1" bestFit="1" customWidth="1"/>
    <col min="2069" max="2301" width="9.140625" style="1"/>
    <col min="2302" max="2302" width="5.140625" style="1" customWidth="1"/>
    <col min="2303" max="2303" width="33.5703125" style="1" customWidth="1"/>
    <col min="2304" max="2304" width="25.85546875" style="1" customWidth="1"/>
    <col min="2305" max="2305" width="0" style="1" hidden="1" customWidth="1"/>
    <col min="2306" max="2306" width="14.85546875" style="1" customWidth="1"/>
    <col min="2307" max="2307" width="13.85546875" style="1" customWidth="1"/>
    <col min="2308" max="2308" width="12.140625" style="1" customWidth="1"/>
    <col min="2309" max="2309" width="13.7109375" style="1" customWidth="1"/>
    <col min="2310" max="2310" width="8.5703125" style="1" customWidth="1"/>
    <col min="2311" max="2311" width="13" style="1" customWidth="1"/>
    <col min="2312" max="2312" width="9" style="1" customWidth="1"/>
    <col min="2313" max="2313" width="6.7109375" style="1" customWidth="1"/>
    <col min="2314" max="2314" width="9" style="1" customWidth="1"/>
    <col min="2315" max="2315" width="6.85546875" style="1" customWidth="1"/>
    <col min="2316" max="2316" width="10.5703125" style="1" customWidth="1"/>
    <col min="2317" max="2317" width="12.28515625" style="1" customWidth="1"/>
    <col min="2318" max="2318" width="12.5703125" style="1" customWidth="1"/>
    <col min="2319" max="2319" width="1.5703125" style="1" customWidth="1"/>
    <col min="2320" max="2320" width="45.140625" style="1" customWidth="1"/>
    <col min="2321" max="2321" width="13.140625" style="1" customWidth="1"/>
    <col min="2322" max="2322" width="10.28515625" style="1" bestFit="1" customWidth="1"/>
    <col min="2323" max="2323" width="16.28515625" style="1" bestFit="1" customWidth="1"/>
    <col min="2324" max="2324" width="11.28515625" style="1" bestFit="1" customWidth="1"/>
    <col min="2325" max="2557" width="9.140625" style="1"/>
    <col min="2558" max="2558" width="5.140625" style="1" customWidth="1"/>
    <col min="2559" max="2559" width="33.5703125" style="1" customWidth="1"/>
    <col min="2560" max="2560" width="25.85546875" style="1" customWidth="1"/>
    <col min="2561" max="2561" width="0" style="1" hidden="1" customWidth="1"/>
    <col min="2562" max="2562" width="14.85546875" style="1" customWidth="1"/>
    <col min="2563" max="2563" width="13.85546875" style="1" customWidth="1"/>
    <col min="2564" max="2564" width="12.140625" style="1" customWidth="1"/>
    <col min="2565" max="2565" width="13.7109375" style="1" customWidth="1"/>
    <col min="2566" max="2566" width="8.5703125" style="1" customWidth="1"/>
    <col min="2567" max="2567" width="13" style="1" customWidth="1"/>
    <col min="2568" max="2568" width="9" style="1" customWidth="1"/>
    <col min="2569" max="2569" width="6.7109375" style="1" customWidth="1"/>
    <col min="2570" max="2570" width="9" style="1" customWidth="1"/>
    <col min="2571" max="2571" width="6.85546875" style="1" customWidth="1"/>
    <col min="2572" max="2572" width="10.5703125" style="1" customWidth="1"/>
    <col min="2573" max="2573" width="12.28515625" style="1" customWidth="1"/>
    <col min="2574" max="2574" width="12.5703125" style="1" customWidth="1"/>
    <col min="2575" max="2575" width="1.5703125" style="1" customWidth="1"/>
    <col min="2576" max="2576" width="45.140625" style="1" customWidth="1"/>
    <col min="2577" max="2577" width="13.140625" style="1" customWidth="1"/>
    <col min="2578" max="2578" width="10.28515625" style="1" bestFit="1" customWidth="1"/>
    <col min="2579" max="2579" width="16.28515625" style="1" bestFit="1" customWidth="1"/>
    <col min="2580" max="2580" width="11.28515625" style="1" bestFit="1" customWidth="1"/>
    <col min="2581" max="2813" width="9.140625" style="1"/>
    <col min="2814" max="2814" width="5.140625" style="1" customWidth="1"/>
    <col min="2815" max="2815" width="33.5703125" style="1" customWidth="1"/>
    <col min="2816" max="2816" width="25.85546875" style="1" customWidth="1"/>
    <col min="2817" max="2817" width="0" style="1" hidden="1" customWidth="1"/>
    <col min="2818" max="2818" width="14.85546875" style="1" customWidth="1"/>
    <col min="2819" max="2819" width="13.85546875" style="1" customWidth="1"/>
    <col min="2820" max="2820" width="12.140625" style="1" customWidth="1"/>
    <col min="2821" max="2821" width="13.7109375" style="1" customWidth="1"/>
    <col min="2822" max="2822" width="8.5703125" style="1" customWidth="1"/>
    <col min="2823" max="2823" width="13" style="1" customWidth="1"/>
    <col min="2824" max="2824" width="9" style="1" customWidth="1"/>
    <col min="2825" max="2825" width="6.7109375" style="1" customWidth="1"/>
    <col min="2826" max="2826" width="9" style="1" customWidth="1"/>
    <col min="2827" max="2827" width="6.85546875" style="1" customWidth="1"/>
    <col min="2828" max="2828" width="10.5703125" style="1" customWidth="1"/>
    <col min="2829" max="2829" width="12.28515625" style="1" customWidth="1"/>
    <col min="2830" max="2830" width="12.5703125" style="1" customWidth="1"/>
    <col min="2831" max="2831" width="1.5703125" style="1" customWidth="1"/>
    <col min="2832" max="2832" width="45.140625" style="1" customWidth="1"/>
    <col min="2833" max="2833" width="13.140625" style="1" customWidth="1"/>
    <col min="2834" max="2834" width="10.28515625" style="1" bestFit="1" customWidth="1"/>
    <col min="2835" max="2835" width="16.28515625" style="1" bestFit="1" customWidth="1"/>
    <col min="2836" max="2836" width="11.28515625" style="1" bestFit="1" customWidth="1"/>
    <col min="2837" max="3069" width="9.140625" style="1"/>
    <col min="3070" max="3070" width="5.140625" style="1" customWidth="1"/>
    <col min="3071" max="3071" width="33.5703125" style="1" customWidth="1"/>
    <col min="3072" max="3072" width="25.85546875" style="1" customWidth="1"/>
    <col min="3073" max="3073" width="0" style="1" hidden="1" customWidth="1"/>
    <col min="3074" max="3074" width="14.85546875" style="1" customWidth="1"/>
    <col min="3075" max="3075" width="13.85546875" style="1" customWidth="1"/>
    <col min="3076" max="3076" width="12.140625" style="1" customWidth="1"/>
    <col min="3077" max="3077" width="13.7109375" style="1" customWidth="1"/>
    <col min="3078" max="3078" width="8.5703125" style="1" customWidth="1"/>
    <col min="3079" max="3079" width="13" style="1" customWidth="1"/>
    <col min="3080" max="3080" width="9" style="1" customWidth="1"/>
    <col min="3081" max="3081" width="6.7109375" style="1" customWidth="1"/>
    <col min="3082" max="3082" width="9" style="1" customWidth="1"/>
    <col min="3083" max="3083" width="6.85546875" style="1" customWidth="1"/>
    <col min="3084" max="3084" width="10.5703125" style="1" customWidth="1"/>
    <col min="3085" max="3085" width="12.28515625" style="1" customWidth="1"/>
    <col min="3086" max="3086" width="12.5703125" style="1" customWidth="1"/>
    <col min="3087" max="3087" width="1.5703125" style="1" customWidth="1"/>
    <col min="3088" max="3088" width="45.140625" style="1" customWidth="1"/>
    <col min="3089" max="3089" width="13.140625" style="1" customWidth="1"/>
    <col min="3090" max="3090" width="10.28515625" style="1" bestFit="1" customWidth="1"/>
    <col min="3091" max="3091" width="16.28515625" style="1" bestFit="1" customWidth="1"/>
    <col min="3092" max="3092" width="11.28515625" style="1" bestFit="1" customWidth="1"/>
    <col min="3093" max="3325" width="9.140625" style="1"/>
    <col min="3326" max="3326" width="5.140625" style="1" customWidth="1"/>
    <col min="3327" max="3327" width="33.5703125" style="1" customWidth="1"/>
    <col min="3328" max="3328" width="25.85546875" style="1" customWidth="1"/>
    <col min="3329" max="3329" width="0" style="1" hidden="1" customWidth="1"/>
    <col min="3330" max="3330" width="14.85546875" style="1" customWidth="1"/>
    <col min="3331" max="3331" width="13.85546875" style="1" customWidth="1"/>
    <col min="3332" max="3332" width="12.140625" style="1" customWidth="1"/>
    <col min="3333" max="3333" width="13.7109375" style="1" customWidth="1"/>
    <col min="3334" max="3334" width="8.5703125" style="1" customWidth="1"/>
    <col min="3335" max="3335" width="13" style="1" customWidth="1"/>
    <col min="3336" max="3336" width="9" style="1" customWidth="1"/>
    <col min="3337" max="3337" width="6.7109375" style="1" customWidth="1"/>
    <col min="3338" max="3338" width="9" style="1" customWidth="1"/>
    <col min="3339" max="3339" width="6.85546875" style="1" customWidth="1"/>
    <col min="3340" max="3340" width="10.5703125" style="1" customWidth="1"/>
    <col min="3341" max="3341" width="12.28515625" style="1" customWidth="1"/>
    <col min="3342" max="3342" width="12.5703125" style="1" customWidth="1"/>
    <col min="3343" max="3343" width="1.5703125" style="1" customWidth="1"/>
    <col min="3344" max="3344" width="45.140625" style="1" customWidth="1"/>
    <col min="3345" max="3345" width="13.140625" style="1" customWidth="1"/>
    <col min="3346" max="3346" width="10.28515625" style="1" bestFit="1" customWidth="1"/>
    <col min="3347" max="3347" width="16.28515625" style="1" bestFit="1" customWidth="1"/>
    <col min="3348" max="3348" width="11.28515625" style="1" bestFit="1" customWidth="1"/>
    <col min="3349" max="3581" width="9.140625" style="1"/>
    <col min="3582" max="3582" width="5.140625" style="1" customWidth="1"/>
    <col min="3583" max="3583" width="33.5703125" style="1" customWidth="1"/>
    <col min="3584" max="3584" width="25.85546875" style="1" customWidth="1"/>
    <col min="3585" max="3585" width="0" style="1" hidden="1" customWidth="1"/>
    <col min="3586" max="3586" width="14.85546875" style="1" customWidth="1"/>
    <col min="3587" max="3587" width="13.85546875" style="1" customWidth="1"/>
    <col min="3588" max="3588" width="12.140625" style="1" customWidth="1"/>
    <col min="3589" max="3589" width="13.7109375" style="1" customWidth="1"/>
    <col min="3590" max="3590" width="8.5703125" style="1" customWidth="1"/>
    <col min="3591" max="3591" width="13" style="1" customWidth="1"/>
    <col min="3592" max="3592" width="9" style="1" customWidth="1"/>
    <col min="3593" max="3593" width="6.7109375" style="1" customWidth="1"/>
    <col min="3594" max="3594" width="9" style="1" customWidth="1"/>
    <col min="3595" max="3595" width="6.85546875" style="1" customWidth="1"/>
    <col min="3596" max="3596" width="10.5703125" style="1" customWidth="1"/>
    <col min="3597" max="3597" width="12.28515625" style="1" customWidth="1"/>
    <col min="3598" max="3598" width="12.5703125" style="1" customWidth="1"/>
    <col min="3599" max="3599" width="1.5703125" style="1" customWidth="1"/>
    <col min="3600" max="3600" width="45.140625" style="1" customWidth="1"/>
    <col min="3601" max="3601" width="13.140625" style="1" customWidth="1"/>
    <col min="3602" max="3602" width="10.28515625" style="1" bestFit="1" customWidth="1"/>
    <col min="3603" max="3603" width="16.28515625" style="1" bestFit="1" customWidth="1"/>
    <col min="3604" max="3604" width="11.28515625" style="1" bestFit="1" customWidth="1"/>
    <col min="3605" max="3837" width="9.140625" style="1"/>
    <col min="3838" max="3838" width="5.140625" style="1" customWidth="1"/>
    <col min="3839" max="3839" width="33.5703125" style="1" customWidth="1"/>
    <col min="3840" max="3840" width="25.85546875" style="1" customWidth="1"/>
    <col min="3841" max="3841" width="0" style="1" hidden="1" customWidth="1"/>
    <col min="3842" max="3842" width="14.85546875" style="1" customWidth="1"/>
    <col min="3843" max="3843" width="13.85546875" style="1" customWidth="1"/>
    <col min="3844" max="3844" width="12.140625" style="1" customWidth="1"/>
    <col min="3845" max="3845" width="13.7109375" style="1" customWidth="1"/>
    <col min="3846" max="3846" width="8.5703125" style="1" customWidth="1"/>
    <col min="3847" max="3847" width="13" style="1" customWidth="1"/>
    <col min="3848" max="3848" width="9" style="1" customWidth="1"/>
    <col min="3849" max="3849" width="6.7109375" style="1" customWidth="1"/>
    <col min="3850" max="3850" width="9" style="1" customWidth="1"/>
    <col min="3851" max="3851" width="6.85546875" style="1" customWidth="1"/>
    <col min="3852" max="3852" width="10.5703125" style="1" customWidth="1"/>
    <col min="3853" max="3853" width="12.28515625" style="1" customWidth="1"/>
    <col min="3854" max="3854" width="12.5703125" style="1" customWidth="1"/>
    <col min="3855" max="3855" width="1.5703125" style="1" customWidth="1"/>
    <col min="3856" max="3856" width="45.140625" style="1" customWidth="1"/>
    <col min="3857" max="3857" width="13.140625" style="1" customWidth="1"/>
    <col min="3858" max="3858" width="10.28515625" style="1" bestFit="1" customWidth="1"/>
    <col min="3859" max="3859" width="16.28515625" style="1" bestFit="1" customWidth="1"/>
    <col min="3860" max="3860" width="11.28515625" style="1" bestFit="1" customWidth="1"/>
    <col min="3861" max="4093" width="9.140625" style="1"/>
    <col min="4094" max="4094" width="5.140625" style="1" customWidth="1"/>
    <col min="4095" max="4095" width="33.5703125" style="1" customWidth="1"/>
    <col min="4096" max="4096" width="25.85546875" style="1" customWidth="1"/>
    <col min="4097" max="4097" width="0" style="1" hidden="1" customWidth="1"/>
    <col min="4098" max="4098" width="14.85546875" style="1" customWidth="1"/>
    <col min="4099" max="4099" width="13.85546875" style="1" customWidth="1"/>
    <col min="4100" max="4100" width="12.140625" style="1" customWidth="1"/>
    <col min="4101" max="4101" width="13.7109375" style="1" customWidth="1"/>
    <col min="4102" max="4102" width="8.5703125" style="1" customWidth="1"/>
    <col min="4103" max="4103" width="13" style="1" customWidth="1"/>
    <col min="4104" max="4104" width="9" style="1" customWidth="1"/>
    <col min="4105" max="4105" width="6.7109375" style="1" customWidth="1"/>
    <col min="4106" max="4106" width="9" style="1" customWidth="1"/>
    <col min="4107" max="4107" width="6.85546875" style="1" customWidth="1"/>
    <col min="4108" max="4108" width="10.5703125" style="1" customWidth="1"/>
    <col min="4109" max="4109" width="12.28515625" style="1" customWidth="1"/>
    <col min="4110" max="4110" width="12.5703125" style="1" customWidth="1"/>
    <col min="4111" max="4111" width="1.5703125" style="1" customWidth="1"/>
    <col min="4112" max="4112" width="45.140625" style="1" customWidth="1"/>
    <col min="4113" max="4113" width="13.140625" style="1" customWidth="1"/>
    <col min="4114" max="4114" width="10.28515625" style="1" bestFit="1" customWidth="1"/>
    <col min="4115" max="4115" width="16.28515625" style="1" bestFit="1" customWidth="1"/>
    <col min="4116" max="4116" width="11.28515625" style="1" bestFit="1" customWidth="1"/>
    <col min="4117" max="4349" width="9.140625" style="1"/>
    <col min="4350" max="4350" width="5.140625" style="1" customWidth="1"/>
    <col min="4351" max="4351" width="33.5703125" style="1" customWidth="1"/>
    <col min="4352" max="4352" width="25.85546875" style="1" customWidth="1"/>
    <col min="4353" max="4353" width="0" style="1" hidden="1" customWidth="1"/>
    <col min="4354" max="4354" width="14.85546875" style="1" customWidth="1"/>
    <col min="4355" max="4355" width="13.85546875" style="1" customWidth="1"/>
    <col min="4356" max="4356" width="12.140625" style="1" customWidth="1"/>
    <col min="4357" max="4357" width="13.7109375" style="1" customWidth="1"/>
    <col min="4358" max="4358" width="8.5703125" style="1" customWidth="1"/>
    <col min="4359" max="4359" width="13" style="1" customWidth="1"/>
    <col min="4360" max="4360" width="9" style="1" customWidth="1"/>
    <col min="4361" max="4361" width="6.7109375" style="1" customWidth="1"/>
    <col min="4362" max="4362" width="9" style="1" customWidth="1"/>
    <col min="4363" max="4363" width="6.85546875" style="1" customWidth="1"/>
    <col min="4364" max="4364" width="10.5703125" style="1" customWidth="1"/>
    <col min="4365" max="4365" width="12.28515625" style="1" customWidth="1"/>
    <col min="4366" max="4366" width="12.5703125" style="1" customWidth="1"/>
    <col min="4367" max="4367" width="1.5703125" style="1" customWidth="1"/>
    <col min="4368" max="4368" width="45.140625" style="1" customWidth="1"/>
    <col min="4369" max="4369" width="13.140625" style="1" customWidth="1"/>
    <col min="4370" max="4370" width="10.28515625" style="1" bestFit="1" customWidth="1"/>
    <col min="4371" max="4371" width="16.28515625" style="1" bestFit="1" customWidth="1"/>
    <col min="4372" max="4372" width="11.28515625" style="1" bestFit="1" customWidth="1"/>
    <col min="4373" max="4605" width="9.140625" style="1"/>
    <col min="4606" max="4606" width="5.140625" style="1" customWidth="1"/>
    <col min="4607" max="4607" width="33.5703125" style="1" customWidth="1"/>
    <col min="4608" max="4608" width="25.85546875" style="1" customWidth="1"/>
    <col min="4609" max="4609" width="0" style="1" hidden="1" customWidth="1"/>
    <col min="4610" max="4610" width="14.85546875" style="1" customWidth="1"/>
    <col min="4611" max="4611" width="13.85546875" style="1" customWidth="1"/>
    <col min="4612" max="4612" width="12.140625" style="1" customWidth="1"/>
    <col min="4613" max="4613" width="13.7109375" style="1" customWidth="1"/>
    <col min="4614" max="4614" width="8.5703125" style="1" customWidth="1"/>
    <col min="4615" max="4615" width="13" style="1" customWidth="1"/>
    <col min="4616" max="4616" width="9" style="1" customWidth="1"/>
    <col min="4617" max="4617" width="6.7109375" style="1" customWidth="1"/>
    <col min="4618" max="4618" width="9" style="1" customWidth="1"/>
    <col min="4619" max="4619" width="6.85546875" style="1" customWidth="1"/>
    <col min="4620" max="4620" width="10.5703125" style="1" customWidth="1"/>
    <col min="4621" max="4621" width="12.28515625" style="1" customWidth="1"/>
    <col min="4622" max="4622" width="12.5703125" style="1" customWidth="1"/>
    <col min="4623" max="4623" width="1.5703125" style="1" customWidth="1"/>
    <col min="4624" max="4624" width="45.140625" style="1" customWidth="1"/>
    <col min="4625" max="4625" width="13.140625" style="1" customWidth="1"/>
    <col min="4626" max="4626" width="10.28515625" style="1" bestFit="1" customWidth="1"/>
    <col min="4627" max="4627" width="16.28515625" style="1" bestFit="1" customWidth="1"/>
    <col min="4628" max="4628" width="11.28515625" style="1" bestFit="1" customWidth="1"/>
    <col min="4629" max="4861" width="9.140625" style="1"/>
    <col min="4862" max="4862" width="5.140625" style="1" customWidth="1"/>
    <col min="4863" max="4863" width="33.5703125" style="1" customWidth="1"/>
    <col min="4864" max="4864" width="25.85546875" style="1" customWidth="1"/>
    <col min="4865" max="4865" width="0" style="1" hidden="1" customWidth="1"/>
    <col min="4866" max="4866" width="14.85546875" style="1" customWidth="1"/>
    <col min="4867" max="4867" width="13.85546875" style="1" customWidth="1"/>
    <col min="4868" max="4868" width="12.140625" style="1" customWidth="1"/>
    <col min="4869" max="4869" width="13.7109375" style="1" customWidth="1"/>
    <col min="4870" max="4870" width="8.5703125" style="1" customWidth="1"/>
    <col min="4871" max="4871" width="13" style="1" customWidth="1"/>
    <col min="4872" max="4872" width="9" style="1" customWidth="1"/>
    <col min="4873" max="4873" width="6.7109375" style="1" customWidth="1"/>
    <col min="4874" max="4874" width="9" style="1" customWidth="1"/>
    <col min="4875" max="4875" width="6.85546875" style="1" customWidth="1"/>
    <col min="4876" max="4876" width="10.5703125" style="1" customWidth="1"/>
    <col min="4877" max="4877" width="12.28515625" style="1" customWidth="1"/>
    <col min="4878" max="4878" width="12.5703125" style="1" customWidth="1"/>
    <col min="4879" max="4879" width="1.5703125" style="1" customWidth="1"/>
    <col min="4880" max="4880" width="45.140625" style="1" customWidth="1"/>
    <col min="4881" max="4881" width="13.140625" style="1" customWidth="1"/>
    <col min="4882" max="4882" width="10.28515625" style="1" bestFit="1" customWidth="1"/>
    <col min="4883" max="4883" width="16.28515625" style="1" bestFit="1" customWidth="1"/>
    <col min="4884" max="4884" width="11.28515625" style="1" bestFit="1" customWidth="1"/>
    <col min="4885" max="5117" width="9.140625" style="1"/>
    <col min="5118" max="5118" width="5.140625" style="1" customWidth="1"/>
    <col min="5119" max="5119" width="33.5703125" style="1" customWidth="1"/>
    <col min="5120" max="5120" width="25.85546875" style="1" customWidth="1"/>
    <col min="5121" max="5121" width="0" style="1" hidden="1" customWidth="1"/>
    <col min="5122" max="5122" width="14.85546875" style="1" customWidth="1"/>
    <col min="5123" max="5123" width="13.85546875" style="1" customWidth="1"/>
    <col min="5124" max="5124" width="12.140625" style="1" customWidth="1"/>
    <col min="5125" max="5125" width="13.7109375" style="1" customWidth="1"/>
    <col min="5126" max="5126" width="8.5703125" style="1" customWidth="1"/>
    <col min="5127" max="5127" width="13" style="1" customWidth="1"/>
    <col min="5128" max="5128" width="9" style="1" customWidth="1"/>
    <col min="5129" max="5129" width="6.7109375" style="1" customWidth="1"/>
    <col min="5130" max="5130" width="9" style="1" customWidth="1"/>
    <col min="5131" max="5131" width="6.85546875" style="1" customWidth="1"/>
    <col min="5132" max="5132" width="10.5703125" style="1" customWidth="1"/>
    <col min="5133" max="5133" width="12.28515625" style="1" customWidth="1"/>
    <col min="5134" max="5134" width="12.5703125" style="1" customWidth="1"/>
    <col min="5135" max="5135" width="1.5703125" style="1" customWidth="1"/>
    <col min="5136" max="5136" width="45.140625" style="1" customWidth="1"/>
    <col min="5137" max="5137" width="13.140625" style="1" customWidth="1"/>
    <col min="5138" max="5138" width="10.28515625" style="1" bestFit="1" customWidth="1"/>
    <col min="5139" max="5139" width="16.28515625" style="1" bestFit="1" customWidth="1"/>
    <col min="5140" max="5140" width="11.28515625" style="1" bestFit="1" customWidth="1"/>
    <col min="5141" max="5373" width="9.140625" style="1"/>
    <col min="5374" max="5374" width="5.140625" style="1" customWidth="1"/>
    <col min="5375" max="5375" width="33.5703125" style="1" customWidth="1"/>
    <col min="5376" max="5376" width="25.85546875" style="1" customWidth="1"/>
    <col min="5377" max="5377" width="0" style="1" hidden="1" customWidth="1"/>
    <col min="5378" max="5378" width="14.85546875" style="1" customWidth="1"/>
    <col min="5379" max="5379" width="13.85546875" style="1" customWidth="1"/>
    <col min="5380" max="5380" width="12.140625" style="1" customWidth="1"/>
    <col min="5381" max="5381" width="13.7109375" style="1" customWidth="1"/>
    <col min="5382" max="5382" width="8.5703125" style="1" customWidth="1"/>
    <col min="5383" max="5383" width="13" style="1" customWidth="1"/>
    <col min="5384" max="5384" width="9" style="1" customWidth="1"/>
    <col min="5385" max="5385" width="6.7109375" style="1" customWidth="1"/>
    <col min="5386" max="5386" width="9" style="1" customWidth="1"/>
    <col min="5387" max="5387" width="6.85546875" style="1" customWidth="1"/>
    <col min="5388" max="5388" width="10.5703125" style="1" customWidth="1"/>
    <col min="5389" max="5389" width="12.28515625" style="1" customWidth="1"/>
    <col min="5390" max="5390" width="12.5703125" style="1" customWidth="1"/>
    <col min="5391" max="5391" width="1.5703125" style="1" customWidth="1"/>
    <col min="5392" max="5392" width="45.140625" style="1" customWidth="1"/>
    <col min="5393" max="5393" width="13.140625" style="1" customWidth="1"/>
    <col min="5394" max="5394" width="10.28515625" style="1" bestFit="1" customWidth="1"/>
    <col min="5395" max="5395" width="16.28515625" style="1" bestFit="1" customWidth="1"/>
    <col min="5396" max="5396" width="11.28515625" style="1" bestFit="1" customWidth="1"/>
    <col min="5397" max="5629" width="9.140625" style="1"/>
    <col min="5630" max="5630" width="5.140625" style="1" customWidth="1"/>
    <col min="5631" max="5631" width="33.5703125" style="1" customWidth="1"/>
    <col min="5632" max="5632" width="25.85546875" style="1" customWidth="1"/>
    <col min="5633" max="5633" width="0" style="1" hidden="1" customWidth="1"/>
    <col min="5634" max="5634" width="14.85546875" style="1" customWidth="1"/>
    <col min="5635" max="5635" width="13.85546875" style="1" customWidth="1"/>
    <col min="5636" max="5636" width="12.140625" style="1" customWidth="1"/>
    <col min="5637" max="5637" width="13.7109375" style="1" customWidth="1"/>
    <col min="5638" max="5638" width="8.5703125" style="1" customWidth="1"/>
    <col min="5639" max="5639" width="13" style="1" customWidth="1"/>
    <col min="5640" max="5640" width="9" style="1" customWidth="1"/>
    <col min="5641" max="5641" width="6.7109375" style="1" customWidth="1"/>
    <col min="5642" max="5642" width="9" style="1" customWidth="1"/>
    <col min="5643" max="5643" width="6.85546875" style="1" customWidth="1"/>
    <col min="5644" max="5644" width="10.5703125" style="1" customWidth="1"/>
    <col min="5645" max="5645" width="12.28515625" style="1" customWidth="1"/>
    <col min="5646" max="5646" width="12.5703125" style="1" customWidth="1"/>
    <col min="5647" max="5647" width="1.5703125" style="1" customWidth="1"/>
    <col min="5648" max="5648" width="45.140625" style="1" customWidth="1"/>
    <col min="5649" max="5649" width="13.140625" style="1" customWidth="1"/>
    <col min="5650" max="5650" width="10.28515625" style="1" bestFit="1" customWidth="1"/>
    <col min="5651" max="5651" width="16.28515625" style="1" bestFit="1" customWidth="1"/>
    <col min="5652" max="5652" width="11.28515625" style="1" bestFit="1" customWidth="1"/>
    <col min="5653" max="5885" width="9.140625" style="1"/>
    <col min="5886" max="5886" width="5.140625" style="1" customWidth="1"/>
    <col min="5887" max="5887" width="33.5703125" style="1" customWidth="1"/>
    <col min="5888" max="5888" width="25.85546875" style="1" customWidth="1"/>
    <col min="5889" max="5889" width="0" style="1" hidden="1" customWidth="1"/>
    <col min="5890" max="5890" width="14.85546875" style="1" customWidth="1"/>
    <col min="5891" max="5891" width="13.85546875" style="1" customWidth="1"/>
    <col min="5892" max="5892" width="12.140625" style="1" customWidth="1"/>
    <col min="5893" max="5893" width="13.7109375" style="1" customWidth="1"/>
    <col min="5894" max="5894" width="8.5703125" style="1" customWidth="1"/>
    <col min="5895" max="5895" width="13" style="1" customWidth="1"/>
    <col min="5896" max="5896" width="9" style="1" customWidth="1"/>
    <col min="5897" max="5897" width="6.7109375" style="1" customWidth="1"/>
    <col min="5898" max="5898" width="9" style="1" customWidth="1"/>
    <col min="5899" max="5899" width="6.85546875" style="1" customWidth="1"/>
    <col min="5900" max="5900" width="10.5703125" style="1" customWidth="1"/>
    <col min="5901" max="5901" width="12.28515625" style="1" customWidth="1"/>
    <col min="5902" max="5902" width="12.5703125" style="1" customWidth="1"/>
    <col min="5903" max="5903" width="1.5703125" style="1" customWidth="1"/>
    <col min="5904" max="5904" width="45.140625" style="1" customWidth="1"/>
    <col min="5905" max="5905" width="13.140625" style="1" customWidth="1"/>
    <col min="5906" max="5906" width="10.28515625" style="1" bestFit="1" customWidth="1"/>
    <col min="5907" max="5907" width="16.28515625" style="1" bestFit="1" customWidth="1"/>
    <col min="5908" max="5908" width="11.28515625" style="1" bestFit="1" customWidth="1"/>
    <col min="5909" max="6141" width="9.140625" style="1"/>
    <col min="6142" max="6142" width="5.140625" style="1" customWidth="1"/>
    <col min="6143" max="6143" width="33.5703125" style="1" customWidth="1"/>
    <col min="6144" max="6144" width="25.85546875" style="1" customWidth="1"/>
    <col min="6145" max="6145" width="0" style="1" hidden="1" customWidth="1"/>
    <col min="6146" max="6146" width="14.85546875" style="1" customWidth="1"/>
    <col min="6147" max="6147" width="13.85546875" style="1" customWidth="1"/>
    <col min="6148" max="6148" width="12.140625" style="1" customWidth="1"/>
    <col min="6149" max="6149" width="13.7109375" style="1" customWidth="1"/>
    <col min="6150" max="6150" width="8.5703125" style="1" customWidth="1"/>
    <col min="6151" max="6151" width="13" style="1" customWidth="1"/>
    <col min="6152" max="6152" width="9" style="1" customWidth="1"/>
    <col min="6153" max="6153" width="6.7109375" style="1" customWidth="1"/>
    <col min="6154" max="6154" width="9" style="1" customWidth="1"/>
    <col min="6155" max="6155" width="6.85546875" style="1" customWidth="1"/>
    <col min="6156" max="6156" width="10.5703125" style="1" customWidth="1"/>
    <col min="6157" max="6157" width="12.28515625" style="1" customWidth="1"/>
    <col min="6158" max="6158" width="12.5703125" style="1" customWidth="1"/>
    <col min="6159" max="6159" width="1.5703125" style="1" customWidth="1"/>
    <col min="6160" max="6160" width="45.140625" style="1" customWidth="1"/>
    <col min="6161" max="6161" width="13.140625" style="1" customWidth="1"/>
    <col min="6162" max="6162" width="10.28515625" style="1" bestFit="1" customWidth="1"/>
    <col min="6163" max="6163" width="16.28515625" style="1" bestFit="1" customWidth="1"/>
    <col min="6164" max="6164" width="11.28515625" style="1" bestFit="1" customWidth="1"/>
    <col min="6165" max="6397" width="9.140625" style="1"/>
    <col min="6398" max="6398" width="5.140625" style="1" customWidth="1"/>
    <col min="6399" max="6399" width="33.5703125" style="1" customWidth="1"/>
    <col min="6400" max="6400" width="25.85546875" style="1" customWidth="1"/>
    <col min="6401" max="6401" width="0" style="1" hidden="1" customWidth="1"/>
    <col min="6402" max="6402" width="14.85546875" style="1" customWidth="1"/>
    <col min="6403" max="6403" width="13.85546875" style="1" customWidth="1"/>
    <col min="6404" max="6404" width="12.140625" style="1" customWidth="1"/>
    <col min="6405" max="6405" width="13.7109375" style="1" customWidth="1"/>
    <col min="6406" max="6406" width="8.5703125" style="1" customWidth="1"/>
    <col min="6407" max="6407" width="13" style="1" customWidth="1"/>
    <col min="6408" max="6408" width="9" style="1" customWidth="1"/>
    <col min="6409" max="6409" width="6.7109375" style="1" customWidth="1"/>
    <col min="6410" max="6410" width="9" style="1" customWidth="1"/>
    <col min="6411" max="6411" width="6.85546875" style="1" customWidth="1"/>
    <col min="6412" max="6412" width="10.5703125" style="1" customWidth="1"/>
    <col min="6413" max="6413" width="12.28515625" style="1" customWidth="1"/>
    <col min="6414" max="6414" width="12.5703125" style="1" customWidth="1"/>
    <col min="6415" max="6415" width="1.5703125" style="1" customWidth="1"/>
    <col min="6416" max="6416" width="45.140625" style="1" customWidth="1"/>
    <col min="6417" max="6417" width="13.140625" style="1" customWidth="1"/>
    <col min="6418" max="6418" width="10.28515625" style="1" bestFit="1" customWidth="1"/>
    <col min="6419" max="6419" width="16.28515625" style="1" bestFit="1" customWidth="1"/>
    <col min="6420" max="6420" width="11.28515625" style="1" bestFit="1" customWidth="1"/>
    <col min="6421" max="6653" width="9.140625" style="1"/>
    <col min="6654" max="6654" width="5.140625" style="1" customWidth="1"/>
    <col min="6655" max="6655" width="33.5703125" style="1" customWidth="1"/>
    <col min="6656" max="6656" width="25.85546875" style="1" customWidth="1"/>
    <col min="6657" max="6657" width="0" style="1" hidden="1" customWidth="1"/>
    <col min="6658" max="6658" width="14.85546875" style="1" customWidth="1"/>
    <col min="6659" max="6659" width="13.85546875" style="1" customWidth="1"/>
    <col min="6660" max="6660" width="12.140625" style="1" customWidth="1"/>
    <col min="6661" max="6661" width="13.7109375" style="1" customWidth="1"/>
    <col min="6662" max="6662" width="8.5703125" style="1" customWidth="1"/>
    <col min="6663" max="6663" width="13" style="1" customWidth="1"/>
    <col min="6664" max="6664" width="9" style="1" customWidth="1"/>
    <col min="6665" max="6665" width="6.7109375" style="1" customWidth="1"/>
    <col min="6666" max="6666" width="9" style="1" customWidth="1"/>
    <col min="6667" max="6667" width="6.85546875" style="1" customWidth="1"/>
    <col min="6668" max="6668" width="10.5703125" style="1" customWidth="1"/>
    <col min="6669" max="6669" width="12.28515625" style="1" customWidth="1"/>
    <col min="6670" max="6670" width="12.5703125" style="1" customWidth="1"/>
    <col min="6671" max="6671" width="1.5703125" style="1" customWidth="1"/>
    <col min="6672" max="6672" width="45.140625" style="1" customWidth="1"/>
    <col min="6673" max="6673" width="13.140625" style="1" customWidth="1"/>
    <col min="6674" max="6674" width="10.28515625" style="1" bestFit="1" customWidth="1"/>
    <col min="6675" max="6675" width="16.28515625" style="1" bestFit="1" customWidth="1"/>
    <col min="6676" max="6676" width="11.28515625" style="1" bestFit="1" customWidth="1"/>
    <col min="6677" max="6909" width="9.140625" style="1"/>
    <col min="6910" max="6910" width="5.140625" style="1" customWidth="1"/>
    <col min="6911" max="6911" width="33.5703125" style="1" customWidth="1"/>
    <col min="6912" max="6912" width="25.85546875" style="1" customWidth="1"/>
    <col min="6913" max="6913" width="0" style="1" hidden="1" customWidth="1"/>
    <col min="6914" max="6914" width="14.85546875" style="1" customWidth="1"/>
    <col min="6915" max="6915" width="13.85546875" style="1" customWidth="1"/>
    <col min="6916" max="6916" width="12.140625" style="1" customWidth="1"/>
    <col min="6917" max="6917" width="13.7109375" style="1" customWidth="1"/>
    <col min="6918" max="6918" width="8.5703125" style="1" customWidth="1"/>
    <col min="6919" max="6919" width="13" style="1" customWidth="1"/>
    <col min="6920" max="6920" width="9" style="1" customWidth="1"/>
    <col min="6921" max="6921" width="6.7109375" style="1" customWidth="1"/>
    <col min="6922" max="6922" width="9" style="1" customWidth="1"/>
    <col min="6923" max="6923" width="6.85546875" style="1" customWidth="1"/>
    <col min="6924" max="6924" width="10.5703125" style="1" customWidth="1"/>
    <col min="6925" max="6925" width="12.28515625" style="1" customWidth="1"/>
    <col min="6926" max="6926" width="12.5703125" style="1" customWidth="1"/>
    <col min="6927" max="6927" width="1.5703125" style="1" customWidth="1"/>
    <col min="6928" max="6928" width="45.140625" style="1" customWidth="1"/>
    <col min="6929" max="6929" width="13.140625" style="1" customWidth="1"/>
    <col min="6930" max="6930" width="10.28515625" style="1" bestFit="1" customWidth="1"/>
    <col min="6931" max="6931" width="16.28515625" style="1" bestFit="1" customWidth="1"/>
    <col min="6932" max="6932" width="11.28515625" style="1" bestFit="1" customWidth="1"/>
    <col min="6933" max="7165" width="9.140625" style="1"/>
    <col min="7166" max="7166" width="5.140625" style="1" customWidth="1"/>
    <col min="7167" max="7167" width="33.5703125" style="1" customWidth="1"/>
    <col min="7168" max="7168" width="25.85546875" style="1" customWidth="1"/>
    <col min="7169" max="7169" width="0" style="1" hidden="1" customWidth="1"/>
    <col min="7170" max="7170" width="14.85546875" style="1" customWidth="1"/>
    <col min="7171" max="7171" width="13.85546875" style="1" customWidth="1"/>
    <col min="7172" max="7172" width="12.140625" style="1" customWidth="1"/>
    <col min="7173" max="7173" width="13.7109375" style="1" customWidth="1"/>
    <col min="7174" max="7174" width="8.5703125" style="1" customWidth="1"/>
    <col min="7175" max="7175" width="13" style="1" customWidth="1"/>
    <col min="7176" max="7176" width="9" style="1" customWidth="1"/>
    <col min="7177" max="7177" width="6.7109375" style="1" customWidth="1"/>
    <col min="7178" max="7178" width="9" style="1" customWidth="1"/>
    <col min="7179" max="7179" width="6.85546875" style="1" customWidth="1"/>
    <col min="7180" max="7180" width="10.5703125" style="1" customWidth="1"/>
    <col min="7181" max="7181" width="12.28515625" style="1" customWidth="1"/>
    <col min="7182" max="7182" width="12.5703125" style="1" customWidth="1"/>
    <col min="7183" max="7183" width="1.5703125" style="1" customWidth="1"/>
    <col min="7184" max="7184" width="45.140625" style="1" customWidth="1"/>
    <col min="7185" max="7185" width="13.140625" style="1" customWidth="1"/>
    <col min="7186" max="7186" width="10.28515625" style="1" bestFit="1" customWidth="1"/>
    <col min="7187" max="7187" width="16.28515625" style="1" bestFit="1" customWidth="1"/>
    <col min="7188" max="7188" width="11.28515625" style="1" bestFit="1" customWidth="1"/>
    <col min="7189" max="7421" width="9.140625" style="1"/>
    <col min="7422" max="7422" width="5.140625" style="1" customWidth="1"/>
    <col min="7423" max="7423" width="33.5703125" style="1" customWidth="1"/>
    <col min="7424" max="7424" width="25.85546875" style="1" customWidth="1"/>
    <col min="7425" max="7425" width="0" style="1" hidden="1" customWidth="1"/>
    <col min="7426" max="7426" width="14.85546875" style="1" customWidth="1"/>
    <col min="7427" max="7427" width="13.85546875" style="1" customWidth="1"/>
    <col min="7428" max="7428" width="12.140625" style="1" customWidth="1"/>
    <col min="7429" max="7429" width="13.7109375" style="1" customWidth="1"/>
    <col min="7430" max="7430" width="8.5703125" style="1" customWidth="1"/>
    <col min="7431" max="7431" width="13" style="1" customWidth="1"/>
    <col min="7432" max="7432" width="9" style="1" customWidth="1"/>
    <col min="7433" max="7433" width="6.7109375" style="1" customWidth="1"/>
    <col min="7434" max="7434" width="9" style="1" customWidth="1"/>
    <col min="7435" max="7435" width="6.85546875" style="1" customWidth="1"/>
    <col min="7436" max="7436" width="10.5703125" style="1" customWidth="1"/>
    <col min="7437" max="7437" width="12.28515625" style="1" customWidth="1"/>
    <col min="7438" max="7438" width="12.5703125" style="1" customWidth="1"/>
    <col min="7439" max="7439" width="1.5703125" style="1" customWidth="1"/>
    <col min="7440" max="7440" width="45.140625" style="1" customWidth="1"/>
    <col min="7441" max="7441" width="13.140625" style="1" customWidth="1"/>
    <col min="7442" max="7442" width="10.28515625" style="1" bestFit="1" customWidth="1"/>
    <col min="7443" max="7443" width="16.28515625" style="1" bestFit="1" customWidth="1"/>
    <col min="7444" max="7444" width="11.28515625" style="1" bestFit="1" customWidth="1"/>
    <col min="7445" max="7677" width="9.140625" style="1"/>
    <col min="7678" max="7678" width="5.140625" style="1" customWidth="1"/>
    <col min="7679" max="7679" width="33.5703125" style="1" customWidth="1"/>
    <col min="7680" max="7680" width="25.85546875" style="1" customWidth="1"/>
    <col min="7681" max="7681" width="0" style="1" hidden="1" customWidth="1"/>
    <col min="7682" max="7682" width="14.85546875" style="1" customWidth="1"/>
    <col min="7683" max="7683" width="13.85546875" style="1" customWidth="1"/>
    <col min="7684" max="7684" width="12.140625" style="1" customWidth="1"/>
    <col min="7685" max="7685" width="13.7109375" style="1" customWidth="1"/>
    <col min="7686" max="7686" width="8.5703125" style="1" customWidth="1"/>
    <col min="7687" max="7687" width="13" style="1" customWidth="1"/>
    <col min="7688" max="7688" width="9" style="1" customWidth="1"/>
    <col min="7689" max="7689" width="6.7109375" style="1" customWidth="1"/>
    <col min="7690" max="7690" width="9" style="1" customWidth="1"/>
    <col min="7691" max="7691" width="6.85546875" style="1" customWidth="1"/>
    <col min="7692" max="7692" width="10.5703125" style="1" customWidth="1"/>
    <col min="7693" max="7693" width="12.28515625" style="1" customWidth="1"/>
    <col min="7694" max="7694" width="12.5703125" style="1" customWidth="1"/>
    <col min="7695" max="7695" width="1.5703125" style="1" customWidth="1"/>
    <col min="7696" max="7696" width="45.140625" style="1" customWidth="1"/>
    <col min="7697" max="7697" width="13.140625" style="1" customWidth="1"/>
    <col min="7698" max="7698" width="10.28515625" style="1" bestFit="1" customWidth="1"/>
    <col min="7699" max="7699" width="16.28515625" style="1" bestFit="1" customWidth="1"/>
    <col min="7700" max="7700" width="11.28515625" style="1" bestFit="1" customWidth="1"/>
    <col min="7701" max="7933" width="9.140625" style="1"/>
    <col min="7934" max="7934" width="5.140625" style="1" customWidth="1"/>
    <col min="7935" max="7935" width="33.5703125" style="1" customWidth="1"/>
    <col min="7936" max="7936" width="25.85546875" style="1" customWidth="1"/>
    <col min="7937" max="7937" width="0" style="1" hidden="1" customWidth="1"/>
    <col min="7938" max="7938" width="14.85546875" style="1" customWidth="1"/>
    <col min="7939" max="7939" width="13.85546875" style="1" customWidth="1"/>
    <col min="7940" max="7940" width="12.140625" style="1" customWidth="1"/>
    <col min="7941" max="7941" width="13.7109375" style="1" customWidth="1"/>
    <col min="7942" max="7942" width="8.5703125" style="1" customWidth="1"/>
    <col min="7943" max="7943" width="13" style="1" customWidth="1"/>
    <col min="7944" max="7944" width="9" style="1" customWidth="1"/>
    <col min="7945" max="7945" width="6.7109375" style="1" customWidth="1"/>
    <col min="7946" max="7946" width="9" style="1" customWidth="1"/>
    <col min="7947" max="7947" width="6.85546875" style="1" customWidth="1"/>
    <col min="7948" max="7948" width="10.5703125" style="1" customWidth="1"/>
    <col min="7949" max="7949" width="12.28515625" style="1" customWidth="1"/>
    <col min="7950" max="7950" width="12.5703125" style="1" customWidth="1"/>
    <col min="7951" max="7951" width="1.5703125" style="1" customWidth="1"/>
    <col min="7952" max="7952" width="45.140625" style="1" customWidth="1"/>
    <col min="7953" max="7953" width="13.140625" style="1" customWidth="1"/>
    <col min="7954" max="7954" width="10.28515625" style="1" bestFit="1" customWidth="1"/>
    <col min="7955" max="7955" width="16.28515625" style="1" bestFit="1" customWidth="1"/>
    <col min="7956" max="7956" width="11.28515625" style="1" bestFit="1" customWidth="1"/>
    <col min="7957" max="8189" width="9.140625" style="1"/>
    <col min="8190" max="8190" width="5.140625" style="1" customWidth="1"/>
    <col min="8191" max="8191" width="33.5703125" style="1" customWidth="1"/>
    <col min="8192" max="8192" width="25.85546875" style="1" customWidth="1"/>
    <col min="8193" max="8193" width="0" style="1" hidden="1" customWidth="1"/>
    <col min="8194" max="8194" width="14.85546875" style="1" customWidth="1"/>
    <col min="8195" max="8195" width="13.85546875" style="1" customWidth="1"/>
    <col min="8196" max="8196" width="12.140625" style="1" customWidth="1"/>
    <col min="8197" max="8197" width="13.7109375" style="1" customWidth="1"/>
    <col min="8198" max="8198" width="8.5703125" style="1" customWidth="1"/>
    <col min="8199" max="8199" width="13" style="1" customWidth="1"/>
    <col min="8200" max="8200" width="9" style="1" customWidth="1"/>
    <col min="8201" max="8201" width="6.7109375" style="1" customWidth="1"/>
    <col min="8202" max="8202" width="9" style="1" customWidth="1"/>
    <col min="8203" max="8203" width="6.85546875" style="1" customWidth="1"/>
    <col min="8204" max="8204" width="10.5703125" style="1" customWidth="1"/>
    <col min="8205" max="8205" width="12.28515625" style="1" customWidth="1"/>
    <col min="8206" max="8206" width="12.5703125" style="1" customWidth="1"/>
    <col min="8207" max="8207" width="1.5703125" style="1" customWidth="1"/>
    <col min="8208" max="8208" width="45.140625" style="1" customWidth="1"/>
    <col min="8209" max="8209" width="13.140625" style="1" customWidth="1"/>
    <col min="8210" max="8210" width="10.28515625" style="1" bestFit="1" customWidth="1"/>
    <col min="8211" max="8211" width="16.28515625" style="1" bestFit="1" customWidth="1"/>
    <col min="8212" max="8212" width="11.28515625" style="1" bestFit="1" customWidth="1"/>
    <col min="8213" max="8445" width="9.140625" style="1"/>
    <col min="8446" max="8446" width="5.140625" style="1" customWidth="1"/>
    <col min="8447" max="8447" width="33.5703125" style="1" customWidth="1"/>
    <col min="8448" max="8448" width="25.85546875" style="1" customWidth="1"/>
    <col min="8449" max="8449" width="0" style="1" hidden="1" customWidth="1"/>
    <col min="8450" max="8450" width="14.85546875" style="1" customWidth="1"/>
    <col min="8451" max="8451" width="13.85546875" style="1" customWidth="1"/>
    <col min="8452" max="8452" width="12.140625" style="1" customWidth="1"/>
    <col min="8453" max="8453" width="13.7109375" style="1" customWidth="1"/>
    <col min="8454" max="8454" width="8.5703125" style="1" customWidth="1"/>
    <col min="8455" max="8455" width="13" style="1" customWidth="1"/>
    <col min="8456" max="8456" width="9" style="1" customWidth="1"/>
    <col min="8457" max="8457" width="6.7109375" style="1" customWidth="1"/>
    <col min="8458" max="8458" width="9" style="1" customWidth="1"/>
    <col min="8459" max="8459" width="6.85546875" style="1" customWidth="1"/>
    <col min="8460" max="8460" width="10.5703125" style="1" customWidth="1"/>
    <col min="8461" max="8461" width="12.28515625" style="1" customWidth="1"/>
    <col min="8462" max="8462" width="12.5703125" style="1" customWidth="1"/>
    <col min="8463" max="8463" width="1.5703125" style="1" customWidth="1"/>
    <col min="8464" max="8464" width="45.140625" style="1" customWidth="1"/>
    <col min="8465" max="8465" width="13.140625" style="1" customWidth="1"/>
    <col min="8466" max="8466" width="10.28515625" style="1" bestFit="1" customWidth="1"/>
    <col min="8467" max="8467" width="16.28515625" style="1" bestFit="1" customWidth="1"/>
    <col min="8468" max="8468" width="11.28515625" style="1" bestFit="1" customWidth="1"/>
    <col min="8469" max="8701" width="9.140625" style="1"/>
    <col min="8702" max="8702" width="5.140625" style="1" customWidth="1"/>
    <col min="8703" max="8703" width="33.5703125" style="1" customWidth="1"/>
    <col min="8704" max="8704" width="25.85546875" style="1" customWidth="1"/>
    <col min="8705" max="8705" width="0" style="1" hidden="1" customWidth="1"/>
    <col min="8706" max="8706" width="14.85546875" style="1" customWidth="1"/>
    <col min="8707" max="8707" width="13.85546875" style="1" customWidth="1"/>
    <col min="8708" max="8708" width="12.140625" style="1" customWidth="1"/>
    <col min="8709" max="8709" width="13.7109375" style="1" customWidth="1"/>
    <col min="8710" max="8710" width="8.5703125" style="1" customWidth="1"/>
    <col min="8711" max="8711" width="13" style="1" customWidth="1"/>
    <col min="8712" max="8712" width="9" style="1" customWidth="1"/>
    <col min="8713" max="8713" width="6.7109375" style="1" customWidth="1"/>
    <col min="8714" max="8714" width="9" style="1" customWidth="1"/>
    <col min="8715" max="8715" width="6.85546875" style="1" customWidth="1"/>
    <col min="8716" max="8716" width="10.5703125" style="1" customWidth="1"/>
    <col min="8717" max="8717" width="12.28515625" style="1" customWidth="1"/>
    <col min="8718" max="8718" width="12.5703125" style="1" customWidth="1"/>
    <col min="8719" max="8719" width="1.5703125" style="1" customWidth="1"/>
    <col min="8720" max="8720" width="45.140625" style="1" customWidth="1"/>
    <col min="8721" max="8721" width="13.140625" style="1" customWidth="1"/>
    <col min="8722" max="8722" width="10.28515625" style="1" bestFit="1" customWidth="1"/>
    <col min="8723" max="8723" width="16.28515625" style="1" bestFit="1" customWidth="1"/>
    <col min="8724" max="8724" width="11.28515625" style="1" bestFit="1" customWidth="1"/>
    <col min="8725" max="8957" width="9.140625" style="1"/>
    <col min="8958" max="8958" width="5.140625" style="1" customWidth="1"/>
    <col min="8959" max="8959" width="33.5703125" style="1" customWidth="1"/>
    <col min="8960" max="8960" width="25.85546875" style="1" customWidth="1"/>
    <col min="8961" max="8961" width="0" style="1" hidden="1" customWidth="1"/>
    <col min="8962" max="8962" width="14.85546875" style="1" customWidth="1"/>
    <col min="8963" max="8963" width="13.85546875" style="1" customWidth="1"/>
    <col min="8964" max="8964" width="12.140625" style="1" customWidth="1"/>
    <col min="8965" max="8965" width="13.7109375" style="1" customWidth="1"/>
    <col min="8966" max="8966" width="8.5703125" style="1" customWidth="1"/>
    <col min="8967" max="8967" width="13" style="1" customWidth="1"/>
    <col min="8968" max="8968" width="9" style="1" customWidth="1"/>
    <col min="8969" max="8969" width="6.7109375" style="1" customWidth="1"/>
    <col min="8970" max="8970" width="9" style="1" customWidth="1"/>
    <col min="8971" max="8971" width="6.85546875" style="1" customWidth="1"/>
    <col min="8972" max="8972" width="10.5703125" style="1" customWidth="1"/>
    <col min="8973" max="8973" width="12.28515625" style="1" customWidth="1"/>
    <col min="8974" max="8974" width="12.5703125" style="1" customWidth="1"/>
    <col min="8975" max="8975" width="1.5703125" style="1" customWidth="1"/>
    <col min="8976" max="8976" width="45.140625" style="1" customWidth="1"/>
    <col min="8977" max="8977" width="13.140625" style="1" customWidth="1"/>
    <col min="8978" max="8978" width="10.28515625" style="1" bestFit="1" customWidth="1"/>
    <col min="8979" max="8979" width="16.28515625" style="1" bestFit="1" customWidth="1"/>
    <col min="8980" max="8980" width="11.28515625" style="1" bestFit="1" customWidth="1"/>
    <col min="8981" max="9213" width="9.140625" style="1"/>
    <col min="9214" max="9214" width="5.140625" style="1" customWidth="1"/>
    <col min="9215" max="9215" width="33.5703125" style="1" customWidth="1"/>
    <col min="9216" max="9216" width="25.85546875" style="1" customWidth="1"/>
    <col min="9217" max="9217" width="0" style="1" hidden="1" customWidth="1"/>
    <col min="9218" max="9218" width="14.85546875" style="1" customWidth="1"/>
    <col min="9219" max="9219" width="13.85546875" style="1" customWidth="1"/>
    <col min="9220" max="9220" width="12.140625" style="1" customWidth="1"/>
    <col min="9221" max="9221" width="13.7109375" style="1" customWidth="1"/>
    <col min="9222" max="9222" width="8.5703125" style="1" customWidth="1"/>
    <col min="9223" max="9223" width="13" style="1" customWidth="1"/>
    <col min="9224" max="9224" width="9" style="1" customWidth="1"/>
    <col min="9225" max="9225" width="6.7109375" style="1" customWidth="1"/>
    <col min="9226" max="9226" width="9" style="1" customWidth="1"/>
    <col min="9227" max="9227" width="6.85546875" style="1" customWidth="1"/>
    <col min="9228" max="9228" width="10.5703125" style="1" customWidth="1"/>
    <col min="9229" max="9229" width="12.28515625" style="1" customWidth="1"/>
    <col min="9230" max="9230" width="12.5703125" style="1" customWidth="1"/>
    <col min="9231" max="9231" width="1.5703125" style="1" customWidth="1"/>
    <col min="9232" max="9232" width="45.140625" style="1" customWidth="1"/>
    <col min="9233" max="9233" width="13.140625" style="1" customWidth="1"/>
    <col min="9234" max="9234" width="10.28515625" style="1" bestFit="1" customWidth="1"/>
    <col min="9235" max="9235" width="16.28515625" style="1" bestFit="1" customWidth="1"/>
    <col min="9236" max="9236" width="11.28515625" style="1" bestFit="1" customWidth="1"/>
    <col min="9237" max="9469" width="9.140625" style="1"/>
    <col min="9470" max="9470" width="5.140625" style="1" customWidth="1"/>
    <col min="9471" max="9471" width="33.5703125" style="1" customWidth="1"/>
    <col min="9472" max="9472" width="25.85546875" style="1" customWidth="1"/>
    <col min="9473" max="9473" width="0" style="1" hidden="1" customWidth="1"/>
    <col min="9474" max="9474" width="14.85546875" style="1" customWidth="1"/>
    <col min="9475" max="9475" width="13.85546875" style="1" customWidth="1"/>
    <col min="9476" max="9476" width="12.140625" style="1" customWidth="1"/>
    <col min="9477" max="9477" width="13.7109375" style="1" customWidth="1"/>
    <col min="9478" max="9478" width="8.5703125" style="1" customWidth="1"/>
    <col min="9479" max="9479" width="13" style="1" customWidth="1"/>
    <col min="9480" max="9480" width="9" style="1" customWidth="1"/>
    <col min="9481" max="9481" width="6.7109375" style="1" customWidth="1"/>
    <col min="9482" max="9482" width="9" style="1" customWidth="1"/>
    <col min="9483" max="9483" width="6.85546875" style="1" customWidth="1"/>
    <col min="9484" max="9484" width="10.5703125" style="1" customWidth="1"/>
    <col min="9485" max="9485" width="12.28515625" style="1" customWidth="1"/>
    <col min="9486" max="9486" width="12.5703125" style="1" customWidth="1"/>
    <col min="9487" max="9487" width="1.5703125" style="1" customWidth="1"/>
    <col min="9488" max="9488" width="45.140625" style="1" customWidth="1"/>
    <col min="9489" max="9489" width="13.140625" style="1" customWidth="1"/>
    <col min="9490" max="9490" width="10.28515625" style="1" bestFit="1" customWidth="1"/>
    <col min="9491" max="9491" width="16.28515625" style="1" bestFit="1" customWidth="1"/>
    <col min="9492" max="9492" width="11.28515625" style="1" bestFit="1" customWidth="1"/>
    <col min="9493" max="9725" width="9.140625" style="1"/>
    <col min="9726" max="9726" width="5.140625" style="1" customWidth="1"/>
    <col min="9727" max="9727" width="33.5703125" style="1" customWidth="1"/>
    <col min="9728" max="9728" width="25.85546875" style="1" customWidth="1"/>
    <col min="9729" max="9729" width="0" style="1" hidden="1" customWidth="1"/>
    <col min="9730" max="9730" width="14.85546875" style="1" customWidth="1"/>
    <col min="9731" max="9731" width="13.85546875" style="1" customWidth="1"/>
    <col min="9732" max="9732" width="12.140625" style="1" customWidth="1"/>
    <col min="9733" max="9733" width="13.7109375" style="1" customWidth="1"/>
    <col min="9734" max="9734" width="8.5703125" style="1" customWidth="1"/>
    <col min="9735" max="9735" width="13" style="1" customWidth="1"/>
    <col min="9736" max="9736" width="9" style="1" customWidth="1"/>
    <col min="9737" max="9737" width="6.7109375" style="1" customWidth="1"/>
    <col min="9738" max="9738" width="9" style="1" customWidth="1"/>
    <col min="9739" max="9739" width="6.85546875" style="1" customWidth="1"/>
    <col min="9740" max="9740" width="10.5703125" style="1" customWidth="1"/>
    <col min="9741" max="9741" width="12.28515625" style="1" customWidth="1"/>
    <col min="9742" max="9742" width="12.5703125" style="1" customWidth="1"/>
    <col min="9743" max="9743" width="1.5703125" style="1" customWidth="1"/>
    <col min="9744" max="9744" width="45.140625" style="1" customWidth="1"/>
    <col min="9745" max="9745" width="13.140625" style="1" customWidth="1"/>
    <col min="9746" max="9746" width="10.28515625" style="1" bestFit="1" customWidth="1"/>
    <col min="9747" max="9747" width="16.28515625" style="1" bestFit="1" customWidth="1"/>
    <col min="9748" max="9748" width="11.28515625" style="1" bestFit="1" customWidth="1"/>
    <col min="9749" max="9981" width="9.140625" style="1"/>
    <col min="9982" max="9982" width="5.140625" style="1" customWidth="1"/>
    <col min="9983" max="9983" width="33.5703125" style="1" customWidth="1"/>
    <col min="9984" max="9984" width="25.85546875" style="1" customWidth="1"/>
    <col min="9985" max="9985" width="0" style="1" hidden="1" customWidth="1"/>
    <col min="9986" max="9986" width="14.85546875" style="1" customWidth="1"/>
    <col min="9987" max="9987" width="13.85546875" style="1" customWidth="1"/>
    <col min="9988" max="9988" width="12.140625" style="1" customWidth="1"/>
    <col min="9989" max="9989" width="13.7109375" style="1" customWidth="1"/>
    <col min="9990" max="9990" width="8.5703125" style="1" customWidth="1"/>
    <col min="9991" max="9991" width="13" style="1" customWidth="1"/>
    <col min="9992" max="9992" width="9" style="1" customWidth="1"/>
    <col min="9993" max="9993" width="6.7109375" style="1" customWidth="1"/>
    <col min="9994" max="9994" width="9" style="1" customWidth="1"/>
    <col min="9995" max="9995" width="6.85546875" style="1" customWidth="1"/>
    <col min="9996" max="9996" width="10.5703125" style="1" customWidth="1"/>
    <col min="9997" max="9997" width="12.28515625" style="1" customWidth="1"/>
    <col min="9998" max="9998" width="12.5703125" style="1" customWidth="1"/>
    <col min="9999" max="9999" width="1.5703125" style="1" customWidth="1"/>
    <col min="10000" max="10000" width="45.140625" style="1" customWidth="1"/>
    <col min="10001" max="10001" width="13.140625" style="1" customWidth="1"/>
    <col min="10002" max="10002" width="10.28515625" style="1" bestFit="1" customWidth="1"/>
    <col min="10003" max="10003" width="16.28515625" style="1" bestFit="1" customWidth="1"/>
    <col min="10004" max="10004" width="11.28515625" style="1" bestFit="1" customWidth="1"/>
    <col min="10005" max="10237" width="9.140625" style="1"/>
    <col min="10238" max="10238" width="5.140625" style="1" customWidth="1"/>
    <col min="10239" max="10239" width="33.5703125" style="1" customWidth="1"/>
    <col min="10240" max="10240" width="25.85546875" style="1" customWidth="1"/>
    <col min="10241" max="10241" width="0" style="1" hidden="1" customWidth="1"/>
    <col min="10242" max="10242" width="14.85546875" style="1" customWidth="1"/>
    <col min="10243" max="10243" width="13.85546875" style="1" customWidth="1"/>
    <col min="10244" max="10244" width="12.140625" style="1" customWidth="1"/>
    <col min="10245" max="10245" width="13.7109375" style="1" customWidth="1"/>
    <col min="10246" max="10246" width="8.5703125" style="1" customWidth="1"/>
    <col min="10247" max="10247" width="13" style="1" customWidth="1"/>
    <col min="10248" max="10248" width="9" style="1" customWidth="1"/>
    <col min="10249" max="10249" width="6.7109375" style="1" customWidth="1"/>
    <col min="10250" max="10250" width="9" style="1" customWidth="1"/>
    <col min="10251" max="10251" width="6.85546875" style="1" customWidth="1"/>
    <col min="10252" max="10252" width="10.5703125" style="1" customWidth="1"/>
    <col min="10253" max="10253" width="12.28515625" style="1" customWidth="1"/>
    <col min="10254" max="10254" width="12.5703125" style="1" customWidth="1"/>
    <col min="10255" max="10255" width="1.5703125" style="1" customWidth="1"/>
    <col min="10256" max="10256" width="45.140625" style="1" customWidth="1"/>
    <col min="10257" max="10257" width="13.140625" style="1" customWidth="1"/>
    <col min="10258" max="10258" width="10.28515625" style="1" bestFit="1" customWidth="1"/>
    <col min="10259" max="10259" width="16.28515625" style="1" bestFit="1" customWidth="1"/>
    <col min="10260" max="10260" width="11.28515625" style="1" bestFit="1" customWidth="1"/>
    <col min="10261" max="10493" width="9.140625" style="1"/>
    <col min="10494" max="10494" width="5.140625" style="1" customWidth="1"/>
    <col min="10495" max="10495" width="33.5703125" style="1" customWidth="1"/>
    <col min="10496" max="10496" width="25.85546875" style="1" customWidth="1"/>
    <col min="10497" max="10497" width="0" style="1" hidden="1" customWidth="1"/>
    <col min="10498" max="10498" width="14.85546875" style="1" customWidth="1"/>
    <col min="10499" max="10499" width="13.85546875" style="1" customWidth="1"/>
    <col min="10500" max="10500" width="12.140625" style="1" customWidth="1"/>
    <col min="10501" max="10501" width="13.7109375" style="1" customWidth="1"/>
    <col min="10502" max="10502" width="8.5703125" style="1" customWidth="1"/>
    <col min="10503" max="10503" width="13" style="1" customWidth="1"/>
    <col min="10504" max="10504" width="9" style="1" customWidth="1"/>
    <col min="10505" max="10505" width="6.7109375" style="1" customWidth="1"/>
    <col min="10506" max="10506" width="9" style="1" customWidth="1"/>
    <col min="10507" max="10507" width="6.85546875" style="1" customWidth="1"/>
    <col min="10508" max="10508" width="10.5703125" style="1" customWidth="1"/>
    <col min="10509" max="10509" width="12.28515625" style="1" customWidth="1"/>
    <col min="10510" max="10510" width="12.5703125" style="1" customWidth="1"/>
    <col min="10511" max="10511" width="1.5703125" style="1" customWidth="1"/>
    <col min="10512" max="10512" width="45.140625" style="1" customWidth="1"/>
    <col min="10513" max="10513" width="13.140625" style="1" customWidth="1"/>
    <col min="10514" max="10514" width="10.28515625" style="1" bestFit="1" customWidth="1"/>
    <col min="10515" max="10515" width="16.28515625" style="1" bestFit="1" customWidth="1"/>
    <col min="10516" max="10516" width="11.28515625" style="1" bestFit="1" customWidth="1"/>
    <col min="10517" max="10749" width="9.140625" style="1"/>
    <col min="10750" max="10750" width="5.140625" style="1" customWidth="1"/>
    <col min="10751" max="10751" width="33.5703125" style="1" customWidth="1"/>
    <col min="10752" max="10752" width="25.85546875" style="1" customWidth="1"/>
    <col min="10753" max="10753" width="0" style="1" hidden="1" customWidth="1"/>
    <col min="10754" max="10754" width="14.85546875" style="1" customWidth="1"/>
    <col min="10755" max="10755" width="13.85546875" style="1" customWidth="1"/>
    <col min="10756" max="10756" width="12.140625" style="1" customWidth="1"/>
    <col min="10757" max="10757" width="13.7109375" style="1" customWidth="1"/>
    <col min="10758" max="10758" width="8.5703125" style="1" customWidth="1"/>
    <col min="10759" max="10759" width="13" style="1" customWidth="1"/>
    <col min="10760" max="10760" width="9" style="1" customWidth="1"/>
    <col min="10761" max="10761" width="6.7109375" style="1" customWidth="1"/>
    <col min="10762" max="10762" width="9" style="1" customWidth="1"/>
    <col min="10763" max="10763" width="6.85546875" style="1" customWidth="1"/>
    <col min="10764" max="10764" width="10.5703125" style="1" customWidth="1"/>
    <col min="10765" max="10765" width="12.28515625" style="1" customWidth="1"/>
    <col min="10766" max="10766" width="12.5703125" style="1" customWidth="1"/>
    <col min="10767" max="10767" width="1.5703125" style="1" customWidth="1"/>
    <col min="10768" max="10768" width="45.140625" style="1" customWidth="1"/>
    <col min="10769" max="10769" width="13.140625" style="1" customWidth="1"/>
    <col min="10770" max="10770" width="10.28515625" style="1" bestFit="1" customWidth="1"/>
    <col min="10771" max="10771" width="16.28515625" style="1" bestFit="1" customWidth="1"/>
    <col min="10772" max="10772" width="11.28515625" style="1" bestFit="1" customWidth="1"/>
    <col min="10773" max="11005" width="9.140625" style="1"/>
    <col min="11006" max="11006" width="5.140625" style="1" customWidth="1"/>
    <col min="11007" max="11007" width="33.5703125" style="1" customWidth="1"/>
    <col min="11008" max="11008" width="25.85546875" style="1" customWidth="1"/>
    <col min="11009" max="11009" width="0" style="1" hidden="1" customWidth="1"/>
    <col min="11010" max="11010" width="14.85546875" style="1" customWidth="1"/>
    <col min="11011" max="11011" width="13.85546875" style="1" customWidth="1"/>
    <col min="11012" max="11012" width="12.140625" style="1" customWidth="1"/>
    <col min="11013" max="11013" width="13.7109375" style="1" customWidth="1"/>
    <col min="11014" max="11014" width="8.5703125" style="1" customWidth="1"/>
    <col min="11015" max="11015" width="13" style="1" customWidth="1"/>
    <col min="11016" max="11016" width="9" style="1" customWidth="1"/>
    <col min="11017" max="11017" width="6.7109375" style="1" customWidth="1"/>
    <col min="11018" max="11018" width="9" style="1" customWidth="1"/>
    <col min="11019" max="11019" width="6.85546875" style="1" customWidth="1"/>
    <col min="11020" max="11020" width="10.5703125" style="1" customWidth="1"/>
    <col min="11021" max="11021" width="12.28515625" style="1" customWidth="1"/>
    <col min="11022" max="11022" width="12.5703125" style="1" customWidth="1"/>
    <col min="11023" max="11023" width="1.5703125" style="1" customWidth="1"/>
    <col min="11024" max="11024" width="45.140625" style="1" customWidth="1"/>
    <col min="11025" max="11025" width="13.140625" style="1" customWidth="1"/>
    <col min="11026" max="11026" width="10.28515625" style="1" bestFit="1" customWidth="1"/>
    <col min="11027" max="11027" width="16.28515625" style="1" bestFit="1" customWidth="1"/>
    <col min="11028" max="11028" width="11.28515625" style="1" bestFit="1" customWidth="1"/>
    <col min="11029" max="11261" width="9.140625" style="1"/>
    <col min="11262" max="11262" width="5.140625" style="1" customWidth="1"/>
    <col min="11263" max="11263" width="33.5703125" style="1" customWidth="1"/>
    <col min="11264" max="11264" width="25.85546875" style="1" customWidth="1"/>
    <col min="11265" max="11265" width="0" style="1" hidden="1" customWidth="1"/>
    <col min="11266" max="11266" width="14.85546875" style="1" customWidth="1"/>
    <col min="11267" max="11267" width="13.85546875" style="1" customWidth="1"/>
    <col min="11268" max="11268" width="12.140625" style="1" customWidth="1"/>
    <col min="11269" max="11269" width="13.7109375" style="1" customWidth="1"/>
    <col min="11270" max="11270" width="8.5703125" style="1" customWidth="1"/>
    <col min="11271" max="11271" width="13" style="1" customWidth="1"/>
    <col min="11272" max="11272" width="9" style="1" customWidth="1"/>
    <col min="11273" max="11273" width="6.7109375" style="1" customWidth="1"/>
    <col min="11274" max="11274" width="9" style="1" customWidth="1"/>
    <col min="11275" max="11275" width="6.85546875" style="1" customWidth="1"/>
    <col min="11276" max="11276" width="10.5703125" style="1" customWidth="1"/>
    <col min="11277" max="11277" width="12.28515625" style="1" customWidth="1"/>
    <col min="11278" max="11278" width="12.5703125" style="1" customWidth="1"/>
    <col min="11279" max="11279" width="1.5703125" style="1" customWidth="1"/>
    <col min="11280" max="11280" width="45.140625" style="1" customWidth="1"/>
    <col min="11281" max="11281" width="13.140625" style="1" customWidth="1"/>
    <col min="11282" max="11282" width="10.28515625" style="1" bestFit="1" customWidth="1"/>
    <col min="11283" max="11283" width="16.28515625" style="1" bestFit="1" customWidth="1"/>
    <col min="11284" max="11284" width="11.28515625" style="1" bestFit="1" customWidth="1"/>
    <col min="11285" max="11517" width="9.140625" style="1"/>
    <col min="11518" max="11518" width="5.140625" style="1" customWidth="1"/>
    <col min="11519" max="11519" width="33.5703125" style="1" customWidth="1"/>
    <col min="11520" max="11520" width="25.85546875" style="1" customWidth="1"/>
    <col min="11521" max="11521" width="0" style="1" hidden="1" customWidth="1"/>
    <col min="11522" max="11522" width="14.85546875" style="1" customWidth="1"/>
    <col min="11523" max="11523" width="13.85546875" style="1" customWidth="1"/>
    <col min="11524" max="11524" width="12.140625" style="1" customWidth="1"/>
    <col min="11525" max="11525" width="13.7109375" style="1" customWidth="1"/>
    <col min="11526" max="11526" width="8.5703125" style="1" customWidth="1"/>
    <col min="11527" max="11527" width="13" style="1" customWidth="1"/>
    <col min="11528" max="11528" width="9" style="1" customWidth="1"/>
    <col min="11529" max="11529" width="6.7109375" style="1" customWidth="1"/>
    <col min="11530" max="11530" width="9" style="1" customWidth="1"/>
    <col min="11531" max="11531" width="6.85546875" style="1" customWidth="1"/>
    <col min="11532" max="11532" width="10.5703125" style="1" customWidth="1"/>
    <col min="11533" max="11533" width="12.28515625" style="1" customWidth="1"/>
    <col min="11534" max="11534" width="12.5703125" style="1" customWidth="1"/>
    <col min="11535" max="11535" width="1.5703125" style="1" customWidth="1"/>
    <col min="11536" max="11536" width="45.140625" style="1" customWidth="1"/>
    <col min="11537" max="11537" width="13.140625" style="1" customWidth="1"/>
    <col min="11538" max="11538" width="10.28515625" style="1" bestFit="1" customWidth="1"/>
    <col min="11539" max="11539" width="16.28515625" style="1" bestFit="1" customWidth="1"/>
    <col min="11540" max="11540" width="11.28515625" style="1" bestFit="1" customWidth="1"/>
    <col min="11541" max="11773" width="9.140625" style="1"/>
    <col min="11774" max="11774" width="5.140625" style="1" customWidth="1"/>
    <col min="11775" max="11775" width="33.5703125" style="1" customWidth="1"/>
    <col min="11776" max="11776" width="25.85546875" style="1" customWidth="1"/>
    <col min="11777" max="11777" width="0" style="1" hidden="1" customWidth="1"/>
    <col min="11778" max="11778" width="14.85546875" style="1" customWidth="1"/>
    <col min="11779" max="11779" width="13.85546875" style="1" customWidth="1"/>
    <col min="11780" max="11780" width="12.140625" style="1" customWidth="1"/>
    <col min="11781" max="11781" width="13.7109375" style="1" customWidth="1"/>
    <col min="11782" max="11782" width="8.5703125" style="1" customWidth="1"/>
    <col min="11783" max="11783" width="13" style="1" customWidth="1"/>
    <col min="11784" max="11784" width="9" style="1" customWidth="1"/>
    <col min="11785" max="11785" width="6.7109375" style="1" customWidth="1"/>
    <col min="11786" max="11786" width="9" style="1" customWidth="1"/>
    <col min="11787" max="11787" width="6.85546875" style="1" customWidth="1"/>
    <col min="11788" max="11788" width="10.5703125" style="1" customWidth="1"/>
    <col min="11789" max="11789" width="12.28515625" style="1" customWidth="1"/>
    <col min="11790" max="11790" width="12.5703125" style="1" customWidth="1"/>
    <col min="11791" max="11791" width="1.5703125" style="1" customWidth="1"/>
    <col min="11792" max="11792" width="45.140625" style="1" customWidth="1"/>
    <col min="11793" max="11793" width="13.140625" style="1" customWidth="1"/>
    <col min="11794" max="11794" width="10.28515625" style="1" bestFit="1" customWidth="1"/>
    <col min="11795" max="11795" width="16.28515625" style="1" bestFit="1" customWidth="1"/>
    <col min="11796" max="11796" width="11.28515625" style="1" bestFit="1" customWidth="1"/>
    <col min="11797" max="12029" width="9.140625" style="1"/>
    <col min="12030" max="12030" width="5.140625" style="1" customWidth="1"/>
    <col min="12031" max="12031" width="33.5703125" style="1" customWidth="1"/>
    <col min="12032" max="12032" width="25.85546875" style="1" customWidth="1"/>
    <col min="12033" max="12033" width="0" style="1" hidden="1" customWidth="1"/>
    <col min="12034" max="12034" width="14.85546875" style="1" customWidth="1"/>
    <col min="12035" max="12035" width="13.85546875" style="1" customWidth="1"/>
    <col min="12036" max="12036" width="12.140625" style="1" customWidth="1"/>
    <col min="12037" max="12037" width="13.7109375" style="1" customWidth="1"/>
    <col min="12038" max="12038" width="8.5703125" style="1" customWidth="1"/>
    <col min="12039" max="12039" width="13" style="1" customWidth="1"/>
    <col min="12040" max="12040" width="9" style="1" customWidth="1"/>
    <col min="12041" max="12041" width="6.7109375" style="1" customWidth="1"/>
    <col min="12042" max="12042" width="9" style="1" customWidth="1"/>
    <col min="12043" max="12043" width="6.85546875" style="1" customWidth="1"/>
    <col min="12044" max="12044" width="10.5703125" style="1" customWidth="1"/>
    <col min="12045" max="12045" width="12.28515625" style="1" customWidth="1"/>
    <col min="12046" max="12046" width="12.5703125" style="1" customWidth="1"/>
    <col min="12047" max="12047" width="1.5703125" style="1" customWidth="1"/>
    <col min="12048" max="12048" width="45.140625" style="1" customWidth="1"/>
    <col min="12049" max="12049" width="13.140625" style="1" customWidth="1"/>
    <col min="12050" max="12050" width="10.28515625" style="1" bestFit="1" customWidth="1"/>
    <col min="12051" max="12051" width="16.28515625" style="1" bestFit="1" customWidth="1"/>
    <col min="12052" max="12052" width="11.28515625" style="1" bestFit="1" customWidth="1"/>
    <col min="12053" max="12285" width="9.140625" style="1"/>
    <col min="12286" max="12286" width="5.140625" style="1" customWidth="1"/>
    <col min="12287" max="12287" width="33.5703125" style="1" customWidth="1"/>
    <col min="12288" max="12288" width="25.85546875" style="1" customWidth="1"/>
    <col min="12289" max="12289" width="0" style="1" hidden="1" customWidth="1"/>
    <col min="12290" max="12290" width="14.85546875" style="1" customWidth="1"/>
    <col min="12291" max="12291" width="13.85546875" style="1" customWidth="1"/>
    <col min="12292" max="12292" width="12.140625" style="1" customWidth="1"/>
    <col min="12293" max="12293" width="13.7109375" style="1" customWidth="1"/>
    <col min="12294" max="12294" width="8.5703125" style="1" customWidth="1"/>
    <col min="12295" max="12295" width="13" style="1" customWidth="1"/>
    <col min="12296" max="12296" width="9" style="1" customWidth="1"/>
    <col min="12297" max="12297" width="6.7109375" style="1" customWidth="1"/>
    <col min="12298" max="12298" width="9" style="1" customWidth="1"/>
    <col min="12299" max="12299" width="6.85546875" style="1" customWidth="1"/>
    <col min="12300" max="12300" width="10.5703125" style="1" customWidth="1"/>
    <col min="12301" max="12301" width="12.28515625" style="1" customWidth="1"/>
    <col min="12302" max="12302" width="12.5703125" style="1" customWidth="1"/>
    <col min="12303" max="12303" width="1.5703125" style="1" customWidth="1"/>
    <col min="12304" max="12304" width="45.140625" style="1" customWidth="1"/>
    <col min="12305" max="12305" width="13.140625" style="1" customWidth="1"/>
    <col min="12306" max="12306" width="10.28515625" style="1" bestFit="1" customWidth="1"/>
    <col min="12307" max="12307" width="16.28515625" style="1" bestFit="1" customWidth="1"/>
    <col min="12308" max="12308" width="11.28515625" style="1" bestFit="1" customWidth="1"/>
    <col min="12309" max="12541" width="9.140625" style="1"/>
    <col min="12542" max="12542" width="5.140625" style="1" customWidth="1"/>
    <col min="12543" max="12543" width="33.5703125" style="1" customWidth="1"/>
    <col min="12544" max="12544" width="25.85546875" style="1" customWidth="1"/>
    <col min="12545" max="12545" width="0" style="1" hidden="1" customWidth="1"/>
    <col min="12546" max="12546" width="14.85546875" style="1" customWidth="1"/>
    <col min="12547" max="12547" width="13.85546875" style="1" customWidth="1"/>
    <col min="12548" max="12548" width="12.140625" style="1" customWidth="1"/>
    <col min="12549" max="12549" width="13.7109375" style="1" customWidth="1"/>
    <col min="12550" max="12550" width="8.5703125" style="1" customWidth="1"/>
    <col min="12551" max="12551" width="13" style="1" customWidth="1"/>
    <col min="12552" max="12552" width="9" style="1" customWidth="1"/>
    <col min="12553" max="12553" width="6.7109375" style="1" customWidth="1"/>
    <col min="12554" max="12554" width="9" style="1" customWidth="1"/>
    <col min="12555" max="12555" width="6.85546875" style="1" customWidth="1"/>
    <col min="12556" max="12556" width="10.5703125" style="1" customWidth="1"/>
    <col min="12557" max="12557" width="12.28515625" style="1" customWidth="1"/>
    <col min="12558" max="12558" width="12.5703125" style="1" customWidth="1"/>
    <col min="12559" max="12559" width="1.5703125" style="1" customWidth="1"/>
    <col min="12560" max="12560" width="45.140625" style="1" customWidth="1"/>
    <col min="12561" max="12561" width="13.140625" style="1" customWidth="1"/>
    <col min="12562" max="12562" width="10.28515625" style="1" bestFit="1" customWidth="1"/>
    <col min="12563" max="12563" width="16.28515625" style="1" bestFit="1" customWidth="1"/>
    <col min="12564" max="12564" width="11.28515625" style="1" bestFit="1" customWidth="1"/>
    <col min="12565" max="12797" width="9.140625" style="1"/>
    <col min="12798" max="12798" width="5.140625" style="1" customWidth="1"/>
    <col min="12799" max="12799" width="33.5703125" style="1" customWidth="1"/>
    <col min="12800" max="12800" width="25.85546875" style="1" customWidth="1"/>
    <col min="12801" max="12801" width="0" style="1" hidden="1" customWidth="1"/>
    <col min="12802" max="12802" width="14.85546875" style="1" customWidth="1"/>
    <col min="12803" max="12803" width="13.85546875" style="1" customWidth="1"/>
    <col min="12804" max="12804" width="12.140625" style="1" customWidth="1"/>
    <col min="12805" max="12805" width="13.7109375" style="1" customWidth="1"/>
    <col min="12806" max="12806" width="8.5703125" style="1" customWidth="1"/>
    <col min="12807" max="12807" width="13" style="1" customWidth="1"/>
    <col min="12808" max="12808" width="9" style="1" customWidth="1"/>
    <col min="12809" max="12809" width="6.7109375" style="1" customWidth="1"/>
    <col min="12810" max="12810" width="9" style="1" customWidth="1"/>
    <col min="12811" max="12811" width="6.85546875" style="1" customWidth="1"/>
    <col min="12812" max="12812" width="10.5703125" style="1" customWidth="1"/>
    <col min="12813" max="12813" width="12.28515625" style="1" customWidth="1"/>
    <col min="12814" max="12814" width="12.5703125" style="1" customWidth="1"/>
    <col min="12815" max="12815" width="1.5703125" style="1" customWidth="1"/>
    <col min="12816" max="12816" width="45.140625" style="1" customWidth="1"/>
    <col min="12817" max="12817" width="13.140625" style="1" customWidth="1"/>
    <col min="12818" max="12818" width="10.28515625" style="1" bestFit="1" customWidth="1"/>
    <col min="12819" max="12819" width="16.28515625" style="1" bestFit="1" customWidth="1"/>
    <col min="12820" max="12820" width="11.28515625" style="1" bestFit="1" customWidth="1"/>
    <col min="12821" max="13053" width="9.140625" style="1"/>
    <col min="13054" max="13054" width="5.140625" style="1" customWidth="1"/>
    <col min="13055" max="13055" width="33.5703125" style="1" customWidth="1"/>
    <col min="13056" max="13056" width="25.85546875" style="1" customWidth="1"/>
    <col min="13057" max="13057" width="0" style="1" hidden="1" customWidth="1"/>
    <col min="13058" max="13058" width="14.85546875" style="1" customWidth="1"/>
    <col min="13059" max="13059" width="13.85546875" style="1" customWidth="1"/>
    <col min="13060" max="13060" width="12.140625" style="1" customWidth="1"/>
    <col min="13061" max="13061" width="13.7109375" style="1" customWidth="1"/>
    <col min="13062" max="13062" width="8.5703125" style="1" customWidth="1"/>
    <col min="13063" max="13063" width="13" style="1" customWidth="1"/>
    <col min="13064" max="13064" width="9" style="1" customWidth="1"/>
    <col min="13065" max="13065" width="6.7109375" style="1" customWidth="1"/>
    <col min="13066" max="13066" width="9" style="1" customWidth="1"/>
    <col min="13067" max="13067" width="6.85546875" style="1" customWidth="1"/>
    <col min="13068" max="13068" width="10.5703125" style="1" customWidth="1"/>
    <col min="13069" max="13069" width="12.28515625" style="1" customWidth="1"/>
    <col min="13070" max="13070" width="12.5703125" style="1" customWidth="1"/>
    <col min="13071" max="13071" width="1.5703125" style="1" customWidth="1"/>
    <col min="13072" max="13072" width="45.140625" style="1" customWidth="1"/>
    <col min="13073" max="13073" width="13.140625" style="1" customWidth="1"/>
    <col min="13074" max="13074" width="10.28515625" style="1" bestFit="1" customWidth="1"/>
    <col min="13075" max="13075" width="16.28515625" style="1" bestFit="1" customWidth="1"/>
    <col min="13076" max="13076" width="11.28515625" style="1" bestFit="1" customWidth="1"/>
    <col min="13077" max="13309" width="9.140625" style="1"/>
    <col min="13310" max="13310" width="5.140625" style="1" customWidth="1"/>
    <col min="13311" max="13311" width="33.5703125" style="1" customWidth="1"/>
    <col min="13312" max="13312" width="25.85546875" style="1" customWidth="1"/>
    <col min="13313" max="13313" width="0" style="1" hidden="1" customWidth="1"/>
    <col min="13314" max="13314" width="14.85546875" style="1" customWidth="1"/>
    <col min="13315" max="13315" width="13.85546875" style="1" customWidth="1"/>
    <col min="13316" max="13316" width="12.140625" style="1" customWidth="1"/>
    <col min="13317" max="13317" width="13.7109375" style="1" customWidth="1"/>
    <col min="13318" max="13318" width="8.5703125" style="1" customWidth="1"/>
    <col min="13319" max="13319" width="13" style="1" customWidth="1"/>
    <col min="13320" max="13320" width="9" style="1" customWidth="1"/>
    <col min="13321" max="13321" width="6.7109375" style="1" customWidth="1"/>
    <col min="13322" max="13322" width="9" style="1" customWidth="1"/>
    <col min="13323" max="13323" width="6.85546875" style="1" customWidth="1"/>
    <col min="13324" max="13324" width="10.5703125" style="1" customWidth="1"/>
    <col min="13325" max="13325" width="12.28515625" style="1" customWidth="1"/>
    <col min="13326" max="13326" width="12.5703125" style="1" customWidth="1"/>
    <col min="13327" max="13327" width="1.5703125" style="1" customWidth="1"/>
    <col min="13328" max="13328" width="45.140625" style="1" customWidth="1"/>
    <col min="13329" max="13329" width="13.140625" style="1" customWidth="1"/>
    <col min="13330" max="13330" width="10.28515625" style="1" bestFit="1" customWidth="1"/>
    <col min="13331" max="13331" width="16.28515625" style="1" bestFit="1" customWidth="1"/>
    <col min="13332" max="13332" width="11.28515625" style="1" bestFit="1" customWidth="1"/>
    <col min="13333" max="13565" width="9.140625" style="1"/>
    <col min="13566" max="13566" width="5.140625" style="1" customWidth="1"/>
    <col min="13567" max="13567" width="33.5703125" style="1" customWidth="1"/>
    <col min="13568" max="13568" width="25.85546875" style="1" customWidth="1"/>
    <col min="13569" max="13569" width="0" style="1" hidden="1" customWidth="1"/>
    <col min="13570" max="13570" width="14.85546875" style="1" customWidth="1"/>
    <col min="13571" max="13571" width="13.85546875" style="1" customWidth="1"/>
    <col min="13572" max="13572" width="12.140625" style="1" customWidth="1"/>
    <col min="13573" max="13573" width="13.7109375" style="1" customWidth="1"/>
    <col min="13574" max="13574" width="8.5703125" style="1" customWidth="1"/>
    <col min="13575" max="13575" width="13" style="1" customWidth="1"/>
    <col min="13576" max="13576" width="9" style="1" customWidth="1"/>
    <col min="13577" max="13577" width="6.7109375" style="1" customWidth="1"/>
    <col min="13578" max="13578" width="9" style="1" customWidth="1"/>
    <col min="13579" max="13579" width="6.85546875" style="1" customWidth="1"/>
    <col min="13580" max="13580" width="10.5703125" style="1" customWidth="1"/>
    <col min="13581" max="13581" width="12.28515625" style="1" customWidth="1"/>
    <col min="13582" max="13582" width="12.5703125" style="1" customWidth="1"/>
    <col min="13583" max="13583" width="1.5703125" style="1" customWidth="1"/>
    <col min="13584" max="13584" width="45.140625" style="1" customWidth="1"/>
    <col min="13585" max="13585" width="13.140625" style="1" customWidth="1"/>
    <col min="13586" max="13586" width="10.28515625" style="1" bestFit="1" customWidth="1"/>
    <col min="13587" max="13587" width="16.28515625" style="1" bestFit="1" customWidth="1"/>
    <col min="13588" max="13588" width="11.28515625" style="1" bestFit="1" customWidth="1"/>
    <col min="13589" max="13821" width="9.140625" style="1"/>
    <col min="13822" max="13822" width="5.140625" style="1" customWidth="1"/>
    <col min="13823" max="13823" width="33.5703125" style="1" customWidth="1"/>
    <col min="13824" max="13824" width="25.85546875" style="1" customWidth="1"/>
    <col min="13825" max="13825" width="0" style="1" hidden="1" customWidth="1"/>
    <col min="13826" max="13826" width="14.85546875" style="1" customWidth="1"/>
    <col min="13827" max="13827" width="13.85546875" style="1" customWidth="1"/>
    <col min="13828" max="13828" width="12.140625" style="1" customWidth="1"/>
    <col min="13829" max="13829" width="13.7109375" style="1" customWidth="1"/>
    <col min="13830" max="13830" width="8.5703125" style="1" customWidth="1"/>
    <col min="13831" max="13831" width="13" style="1" customWidth="1"/>
    <col min="13832" max="13832" width="9" style="1" customWidth="1"/>
    <col min="13833" max="13833" width="6.7109375" style="1" customWidth="1"/>
    <col min="13834" max="13834" width="9" style="1" customWidth="1"/>
    <col min="13835" max="13835" width="6.85546875" style="1" customWidth="1"/>
    <col min="13836" max="13836" width="10.5703125" style="1" customWidth="1"/>
    <col min="13837" max="13837" width="12.28515625" style="1" customWidth="1"/>
    <col min="13838" max="13838" width="12.5703125" style="1" customWidth="1"/>
    <col min="13839" max="13839" width="1.5703125" style="1" customWidth="1"/>
    <col min="13840" max="13840" width="45.140625" style="1" customWidth="1"/>
    <col min="13841" max="13841" width="13.140625" style="1" customWidth="1"/>
    <col min="13842" max="13842" width="10.28515625" style="1" bestFit="1" customWidth="1"/>
    <col min="13843" max="13843" width="16.28515625" style="1" bestFit="1" customWidth="1"/>
    <col min="13844" max="13844" width="11.28515625" style="1" bestFit="1" customWidth="1"/>
    <col min="13845" max="14077" width="9.140625" style="1"/>
    <col min="14078" max="14078" width="5.140625" style="1" customWidth="1"/>
    <col min="14079" max="14079" width="33.5703125" style="1" customWidth="1"/>
    <col min="14080" max="14080" width="25.85546875" style="1" customWidth="1"/>
    <col min="14081" max="14081" width="0" style="1" hidden="1" customWidth="1"/>
    <col min="14082" max="14082" width="14.85546875" style="1" customWidth="1"/>
    <col min="14083" max="14083" width="13.85546875" style="1" customWidth="1"/>
    <col min="14084" max="14084" width="12.140625" style="1" customWidth="1"/>
    <col min="14085" max="14085" width="13.7109375" style="1" customWidth="1"/>
    <col min="14086" max="14086" width="8.5703125" style="1" customWidth="1"/>
    <col min="14087" max="14087" width="13" style="1" customWidth="1"/>
    <col min="14088" max="14088" width="9" style="1" customWidth="1"/>
    <col min="14089" max="14089" width="6.7109375" style="1" customWidth="1"/>
    <col min="14090" max="14090" width="9" style="1" customWidth="1"/>
    <col min="14091" max="14091" width="6.85546875" style="1" customWidth="1"/>
    <col min="14092" max="14092" width="10.5703125" style="1" customWidth="1"/>
    <col min="14093" max="14093" width="12.28515625" style="1" customWidth="1"/>
    <col min="14094" max="14094" width="12.5703125" style="1" customWidth="1"/>
    <col min="14095" max="14095" width="1.5703125" style="1" customWidth="1"/>
    <col min="14096" max="14096" width="45.140625" style="1" customWidth="1"/>
    <col min="14097" max="14097" width="13.140625" style="1" customWidth="1"/>
    <col min="14098" max="14098" width="10.28515625" style="1" bestFit="1" customWidth="1"/>
    <col min="14099" max="14099" width="16.28515625" style="1" bestFit="1" customWidth="1"/>
    <col min="14100" max="14100" width="11.28515625" style="1" bestFit="1" customWidth="1"/>
    <col min="14101" max="14333" width="9.140625" style="1"/>
    <col min="14334" max="14334" width="5.140625" style="1" customWidth="1"/>
    <col min="14335" max="14335" width="33.5703125" style="1" customWidth="1"/>
    <col min="14336" max="14336" width="25.85546875" style="1" customWidth="1"/>
    <col min="14337" max="14337" width="0" style="1" hidden="1" customWidth="1"/>
    <col min="14338" max="14338" width="14.85546875" style="1" customWidth="1"/>
    <col min="14339" max="14339" width="13.85546875" style="1" customWidth="1"/>
    <col min="14340" max="14340" width="12.140625" style="1" customWidth="1"/>
    <col min="14341" max="14341" width="13.7109375" style="1" customWidth="1"/>
    <col min="14342" max="14342" width="8.5703125" style="1" customWidth="1"/>
    <col min="14343" max="14343" width="13" style="1" customWidth="1"/>
    <col min="14344" max="14344" width="9" style="1" customWidth="1"/>
    <col min="14345" max="14345" width="6.7109375" style="1" customWidth="1"/>
    <col min="14346" max="14346" width="9" style="1" customWidth="1"/>
    <col min="14347" max="14347" width="6.85546875" style="1" customWidth="1"/>
    <col min="14348" max="14348" width="10.5703125" style="1" customWidth="1"/>
    <col min="14349" max="14349" width="12.28515625" style="1" customWidth="1"/>
    <col min="14350" max="14350" width="12.5703125" style="1" customWidth="1"/>
    <col min="14351" max="14351" width="1.5703125" style="1" customWidth="1"/>
    <col min="14352" max="14352" width="45.140625" style="1" customWidth="1"/>
    <col min="14353" max="14353" width="13.140625" style="1" customWidth="1"/>
    <col min="14354" max="14354" width="10.28515625" style="1" bestFit="1" customWidth="1"/>
    <col min="14355" max="14355" width="16.28515625" style="1" bestFit="1" customWidth="1"/>
    <col min="14356" max="14356" width="11.28515625" style="1" bestFit="1" customWidth="1"/>
    <col min="14357" max="14589" width="9.140625" style="1"/>
    <col min="14590" max="14590" width="5.140625" style="1" customWidth="1"/>
    <col min="14591" max="14591" width="33.5703125" style="1" customWidth="1"/>
    <col min="14592" max="14592" width="25.85546875" style="1" customWidth="1"/>
    <col min="14593" max="14593" width="0" style="1" hidden="1" customWidth="1"/>
    <col min="14594" max="14594" width="14.85546875" style="1" customWidth="1"/>
    <col min="14595" max="14595" width="13.85546875" style="1" customWidth="1"/>
    <col min="14596" max="14596" width="12.140625" style="1" customWidth="1"/>
    <col min="14597" max="14597" width="13.7109375" style="1" customWidth="1"/>
    <col min="14598" max="14598" width="8.5703125" style="1" customWidth="1"/>
    <col min="14599" max="14599" width="13" style="1" customWidth="1"/>
    <col min="14600" max="14600" width="9" style="1" customWidth="1"/>
    <col min="14601" max="14601" width="6.7109375" style="1" customWidth="1"/>
    <col min="14602" max="14602" width="9" style="1" customWidth="1"/>
    <col min="14603" max="14603" width="6.85546875" style="1" customWidth="1"/>
    <col min="14604" max="14604" width="10.5703125" style="1" customWidth="1"/>
    <col min="14605" max="14605" width="12.28515625" style="1" customWidth="1"/>
    <col min="14606" max="14606" width="12.5703125" style="1" customWidth="1"/>
    <col min="14607" max="14607" width="1.5703125" style="1" customWidth="1"/>
    <col min="14608" max="14608" width="45.140625" style="1" customWidth="1"/>
    <col min="14609" max="14609" width="13.140625" style="1" customWidth="1"/>
    <col min="14610" max="14610" width="10.28515625" style="1" bestFit="1" customWidth="1"/>
    <col min="14611" max="14611" width="16.28515625" style="1" bestFit="1" customWidth="1"/>
    <col min="14612" max="14612" width="11.28515625" style="1" bestFit="1" customWidth="1"/>
    <col min="14613" max="14845" width="9.140625" style="1"/>
    <col min="14846" max="14846" width="5.140625" style="1" customWidth="1"/>
    <col min="14847" max="14847" width="33.5703125" style="1" customWidth="1"/>
    <col min="14848" max="14848" width="25.85546875" style="1" customWidth="1"/>
    <col min="14849" max="14849" width="0" style="1" hidden="1" customWidth="1"/>
    <col min="14850" max="14850" width="14.85546875" style="1" customWidth="1"/>
    <col min="14851" max="14851" width="13.85546875" style="1" customWidth="1"/>
    <col min="14852" max="14852" width="12.140625" style="1" customWidth="1"/>
    <col min="14853" max="14853" width="13.7109375" style="1" customWidth="1"/>
    <col min="14854" max="14854" width="8.5703125" style="1" customWidth="1"/>
    <col min="14855" max="14855" width="13" style="1" customWidth="1"/>
    <col min="14856" max="14856" width="9" style="1" customWidth="1"/>
    <col min="14857" max="14857" width="6.7109375" style="1" customWidth="1"/>
    <col min="14858" max="14858" width="9" style="1" customWidth="1"/>
    <col min="14859" max="14859" width="6.85546875" style="1" customWidth="1"/>
    <col min="14860" max="14860" width="10.5703125" style="1" customWidth="1"/>
    <col min="14861" max="14861" width="12.28515625" style="1" customWidth="1"/>
    <col min="14862" max="14862" width="12.5703125" style="1" customWidth="1"/>
    <col min="14863" max="14863" width="1.5703125" style="1" customWidth="1"/>
    <col min="14864" max="14864" width="45.140625" style="1" customWidth="1"/>
    <col min="14865" max="14865" width="13.140625" style="1" customWidth="1"/>
    <col min="14866" max="14866" width="10.28515625" style="1" bestFit="1" customWidth="1"/>
    <col min="14867" max="14867" width="16.28515625" style="1" bestFit="1" customWidth="1"/>
    <col min="14868" max="14868" width="11.28515625" style="1" bestFit="1" customWidth="1"/>
    <col min="14869" max="15101" width="9.140625" style="1"/>
    <col min="15102" max="15102" width="5.140625" style="1" customWidth="1"/>
    <col min="15103" max="15103" width="33.5703125" style="1" customWidth="1"/>
    <col min="15104" max="15104" width="25.85546875" style="1" customWidth="1"/>
    <col min="15105" max="15105" width="0" style="1" hidden="1" customWidth="1"/>
    <col min="15106" max="15106" width="14.85546875" style="1" customWidth="1"/>
    <col min="15107" max="15107" width="13.85546875" style="1" customWidth="1"/>
    <col min="15108" max="15108" width="12.140625" style="1" customWidth="1"/>
    <col min="15109" max="15109" width="13.7109375" style="1" customWidth="1"/>
    <col min="15110" max="15110" width="8.5703125" style="1" customWidth="1"/>
    <col min="15111" max="15111" width="13" style="1" customWidth="1"/>
    <col min="15112" max="15112" width="9" style="1" customWidth="1"/>
    <col min="15113" max="15113" width="6.7109375" style="1" customWidth="1"/>
    <col min="15114" max="15114" width="9" style="1" customWidth="1"/>
    <col min="15115" max="15115" width="6.85546875" style="1" customWidth="1"/>
    <col min="15116" max="15116" width="10.5703125" style="1" customWidth="1"/>
    <col min="15117" max="15117" width="12.28515625" style="1" customWidth="1"/>
    <col min="15118" max="15118" width="12.5703125" style="1" customWidth="1"/>
    <col min="15119" max="15119" width="1.5703125" style="1" customWidth="1"/>
    <col min="15120" max="15120" width="45.140625" style="1" customWidth="1"/>
    <col min="15121" max="15121" width="13.140625" style="1" customWidth="1"/>
    <col min="15122" max="15122" width="10.28515625" style="1" bestFit="1" customWidth="1"/>
    <col min="15123" max="15123" width="16.28515625" style="1" bestFit="1" customWidth="1"/>
    <col min="15124" max="15124" width="11.28515625" style="1" bestFit="1" customWidth="1"/>
    <col min="15125" max="15357" width="9.140625" style="1"/>
    <col min="15358" max="15358" width="5.140625" style="1" customWidth="1"/>
    <col min="15359" max="15359" width="33.5703125" style="1" customWidth="1"/>
    <col min="15360" max="15360" width="25.85546875" style="1" customWidth="1"/>
    <col min="15361" max="15361" width="0" style="1" hidden="1" customWidth="1"/>
    <col min="15362" max="15362" width="14.85546875" style="1" customWidth="1"/>
    <col min="15363" max="15363" width="13.85546875" style="1" customWidth="1"/>
    <col min="15364" max="15364" width="12.140625" style="1" customWidth="1"/>
    <col min="15365" max="15365" width="13.7109375" style="1" customWidth="1"/>
    <col min="15366" max="15366" width="8.5703125" style="1" customWidth="1"/>
    <col min="15367" max="15367" width="13" style="1" customWidth="1"/>
    <col min="15368" max="15368" width="9" style="1" customWidth="1"/>
    <col min="15369" max="15369" width="6.7109375" style="1" customWidth="1"/>
    <col min="15370" max="15370" width="9" style="1" customWidth="1"/>
    <col min="15371" max="15371" width="6.85546875" style="1" customWidth="1"/>
    <col min="15372" max="15372" width="10.5703125" style="1" customWidth="1"/>
    <col min="15373" max="15373" width="12.28515625" style="1" customWidth="1"/>
    <col min="15374" max="15374" width="12.5703125" style="1" customWidth="1"/>
    <col min="15375" max="15375" width="1.5703125" style="1" customWidth="1"/>
    <col min="15376" max="15376" width="45.140625" style="1" customWidth="1"/>
    <col min="15377" max="15377" width="13.140625" style="1" customWidth="1"/>
    <col min="15378" max="15378" width="10.28515625" style="1" bestFit="1" customWidth="1"/>
    <col min="15379" max="15379" width="16.28515625" style="1" bestFit="1" customWidth="1"/>
    <col min="15380" max="15380" width="11.28515625" style="1" bestFit="1" customWidth="1"/>
    <col min="15381" max="15613" width="9.140625" style="1"/>
    <col min="15614" max="15614" width="5.140625" style="1" customWidth="1"/>
    <col min="15615" max="15615" width="33.5703125" style="1" customWidth="1"/>
    <col min="15616" max="15616" width="25.85546875" style="1" customWidth="1"/>
    <col min="15617" max="15617" width="0" style="1" hidden="1" customWidth="1"/>
    <col min="15618" max="15618" width="14.85546875" style="1" customWidth="1"/>
    <col min="15619" max="15619" width="13.85546875" style="1" customWidth="1"/>
    <col min="15620" max="15620" width="12.140625" style="1" customWidth="1"/>
    <col min="15621" max="15621" width="13.7109375" style="1" customWidth="1"/>
    <col min="15622" max="15622" width="8.5703125" style="1" customWidth="1"/>
    <col min="15623" max="15623" width="13" style="1" customWidth="1"/>
    <col min="15624" max="15624" width="9" style="1" customWidth="1"/>
    <col min="15625" max="15625" width="6.7109375" style="1" customWidth="1"/>
    <col min="15626" max="15626" width="9" style="1" customWidth="1"/>
    <col min="15627" max="15627" width="6.85546875" style="1" customWidth="1"/>
    <col min="15628" max="15628" width="10.5703125" style="1" customWidth="1"/>
    <col min="15629" max="15629" width="12.28515625" style="1" customWidth="1"/>
    <col min="15630" max="15630" width="12.5703125" style="1" customWidth="1"/>
    <col min="15631" max="15631" width="1.5703125" style="1" customWidth="1"/>
    <col min="15632" max="15632" width="45.140625" style="1" customWidth="1"/>
    <col min="15633" max="15633" width="13.140625" style="1" customWidth="1"/>
    <col min="15634" max="15634" width="10.28515625" style="1" bestFit="1" customWidth="1"/>
    <col min="15635" max="15635" width="16.28515625" style="1" bestFit="1" customWidth="1"/>
    <col min="15636" max="15636" width="11.28515625" style="1" bestFit="1" customWidth="1"/>
    <col min="15637" max="15869" width="9.140625" style="1"/>
    <col min="15870" max="15870" width="5.140625" style="1" customWidth="1"/>
    <col min="15871" max="15871" width="33.5703125" style="1" customWidth="1"/>
    <col min="15872" max="15872" width="25.85546875" style="1" customWidth="1"/>
    <col min="15873" max="15873" width="0" style="1" hidden="1" customWidth="1"/>
    <col min="15874" max="15874" width="14.85546875" style="1" customWidth="1"/>
    <col min="15875" max="15875" width="13.85546875" style="1" customWidth="1"/>
    <col min="15876" max="15876" width="12.140625" style="1" customWidth="1"/>
    <col min="15877" max="15877" width="13.7109375" style="1" customWidth="1"/>
    <col min="15878" max="15878" width="8.5703125" style="1" customWidth="1"/>
    <col min="15879" max="15879" width="13" style="1" customWidth="1"/>
    <col min="15880" max="15880" width="9" style="1" customWidth="1"/>
    <col min="15881" max="15881" width="6.7109375" style="1" customWidth="1"/>
    <col min="15882" max="15882" width="9" style="1" customWidth="1"/>
    <col min="15883" max="15883" width="6.85546875" style="1" customWidth="1"/>
    <col min="15884" max="15884" width="10.5703125" style="1" customWidth="1"/>
    <col min="15885" max="15885" width="12.28515625" style="1" customWidth="1"/>
    <col min="15886" max="15886" width="12.5703125" style="1" customWidth="1"/>
    <col min="15887" max="15887" width="1.5703125" style="1" customWidth="1"/>
    <col min="15888" max="15888" width="45.140625" style="1" customWidth="1"/>
    <col min="15889" max="15889" width="13.140625" style="1" customWidth="1"/>
    <col min="15890" max="15890" width="10.28515625" style="1" bestFit="1" customWidth="1"/>
    <col min="15891" max="15891" width="16.28515625" style="1" bestFit="1" customWidth="1"/>
    <col min="15892" max="15892" width="11.28515625" style="1" bestFit="1" customWidth="1"/>
    <col min="15893" max="16125" width="9.140625" style="1"/>
    <col min="16126" max="16126" width="5.140625" style="1" customWidth="1"/>
    <col min="16127" max="16127" width="33.5703125" style="1" customWidth="1"/>
    <col min="16128" max="16128" width="25.85546875" style="1" customWidth="1"/>
    <col min="16129" max="16129" width="0" style="1" hidden="1" customWidth="1"/>
    <col min="16130" max="16130" width="14.85546875" style="1" customWidth="1"/>
    <col min="16131" max="16131" width="13.85546875" style="1" customWidth="1"/>
    <col min="16132" max="16132" width="12.140625" style="1" customWidth="1"/>
    <col min="16133" max="16133" width="13.7109375" style="1" customWidth="1"/>
    <col min="16134" max="16134" width="8.5703125" style="1" customWidth="1"/>
    <col min="16135" max="16135" width="13" style="1" customWidth="1"/>
    <col min="16136" max="16136" width="9" style="1" customWidth="1"/>
    <col min="16137" max="16137" width="6.7109375" style="1" customWidth="1"/>
    <col min="16138" max="16138" width="9" style="1" customWidth="1"/>
    <col min="16139" max="16139" width="6.85546875" style="1" customWidth="1"/>
    <col min="16140" max="16140" width="10.5703125" style="1" customWidth="1"/>
    <col min="16141" max="16141" width="12.28515625" style="1" customWidth="1"/>
    <col min="16142" max="16142" width="12.5703125" style="1" customWidth="1"/>
    <col min="16143" max="16143" width="1.5703125" style="1" customWidth="1"/>
    <col min="16144" max="16144" width="45.140625" style="1" customWidth="1"/>
    <col min="16145" max="16145" width="13.140625" style="1" customWidth="1"/>
    <col min="16146" max="16146" width="10.28515625" style="1" bestFit="1" customWidth="1"/>
    <col min="16147" max="16147" width="16.28515625" style="1" bestFit="1" customWidth="1"/>
    <col min="16148" max="16148" width="11.28515625" style="1" bestFit="1" customWidth="1"/>
    <col min="16149" max="16384" width="9.140625" style="1"/>
  </cols>
  <sheetData>
    <row r="1" spans="3:32" ht="15.75" x14ac:dyDescent="0.25">
      <c r="C1" s="307" t="s">
        <v>0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</row>
    <row r="2" spans="3:32" ht="15.75" x14ac:dyDescent="0.25">
      <c r="C2" s="308" t="s">
        <v>100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</row>
    <row r="3" spans="3:32" s="12" customFormat="1" ht="33.75" customHeight="1" thickBot="1" x14ac:dyDescent="0.3">
      <c r="C3" s="214" t="s">
        <v>2</v>
      </c>
      <c r="D3" s="215" t="s">
        <v>3</v>
      </c>
      <c r="E3" s="216" t="s">
        <v>4</v>
      </c>
      <c r="F3" s="217" t="s">
        <v>5</v>
      </c>
      <c r="G3" s="218"/>
      <c r="H3" s="218"/>
      <c r="I3" s="218"/>
      <c r="J3" s="218"/>
      <c r="K3" s="218"/>
      <c r="L3" s="219" t="s">
        <v>6</v>
      </c>
      <c r="M3" s="219" t="s">
        <v>7</v>
      </c>
      <c r="N3" s="220"/>
      <c r="O3" s="220"/>
      <c r="P3" s="309" t="s">
        <v>8</v>
      </c>
      <c r="Q3" s="309"/>
      <c r="R3" s="309"/>
      <c r="S3" s="217" t="s">
        <v>9</v>
      </c>
      <c r="T3" s="217" t="s">
        <v>10</v>
      </c>
      <c r="U3" s="217"/>
      <c r="V3" s="217" t="s">
        <v>11</v>
      </c>
      <c r="W3" s="217" t="s">
        <v>12</v>
      </c>
      <c r="X3" s="221" t="s">
        <v>13</v>
      </c>
      <c r="Y3" s="222" t="s">
        <v>14</v>
      </c>
      <c r="Z3" s="222" t="s">
        <v>15</v>
      </c>
      <c r="AA3" s="217" t="s">
        <v>1140</v>
      </c>
      <c r="AB3" s="309" t="s">
        <v>17</v>
      </c>
      <c r="AC3" s="309"/>
      <c r="AD3" s="217" t="s">
        <v>18</v>
      </c>
      <c r="AE3" s="216" t="s">
        <v>19</v>
      </c>
      <c r="AF3" s="216" t="s">
        <v>13</v>
      </c>
    </row>
    <row r="4" spans="3:32" ht="16.5" thickBot="1" x14ac:dyDescent="0.3">
      <c r="C4" s="13"/>
      <c r="D4" s="38" t="s">
        <v>25</v>
      </c>
      <c r="E4" s="39"/>
      <c r="F4" s="39"/>
      <c r="G4" s="39"/>
      <c r="H4" s="40"/>
      <c r="I4" s="17"/>
      <c r="J4" s="25"/>
      <c r="K4" s="18"/>
      <c r="L4" s="19"/>
      <c r="M4" s="19"/>
      <c r="N4" s="20"/>
      <c r="O4" s="20"/>
      <c r="P4" s="20"/>
      <c r="Q4" s="20"/>
      <c r="R4" s="17"/>
      <c r="S4" s="21"/>
      <c r="T4" s="34"/>
      <c r="U4" s="35"/>
      <c r="V4" s="35"/>
      <c r="W4" s="45"/>
      <c r="X4" s="23"/>
      <c r="Y4" s="30"/>
      <c r="Z4" s="30"/>
      <c r="AA4" s="22"/>
      <c r="AB4" s="22"/>
      <c r="AC4" s="30"/>
      <c r="AD4" s="22"/>
      <c r="AE4" s="31">
        <f t="shared" ref="AE4:AE47" si="0">AC4+Z4+AD4</f>
        <v>0</v>
      </c>
      <c r="AF4" s="22"/>
    </row>
    <row r="5" spans="3:32" ht="15.75" x14ac:dyDescent="0.25">
      <c r="C5" s="13" t="s">
        <v>20</v>
      </c>
      <c r="D5" s="94" t="s">
        <v>63</v>
      </c>
      <c r="E5" s="91" t="s">
        <v>64</v>
      </c>
      <c r="F5" s="14" t="s">
        <v>28</v>
      </c>
      <c r="G5" s="16">
        <v>7843.4999999999982</v>
      </c>
      <c r="H5" s="17">
        <v>3734.9999999999991</v>
      </c>
      <c r="I5" s="17">
        <v>622.5</v>
      </c>
      <c r="J5" s="25">
        <v>622.5</v>
      </c>
      <c r="K5" s="18"/>
      <c r="L5" s="19">
        <f>SUM(G5:K5)</f>
        <v>12823.499999999996</v>
      </c>
      <c r="M5" s="19" t="s">
        <v>22</v>
      </c>
      <c r="N5" s="20">
        <v>0</v>
      </c>
      <c r="O5" s="20"/>
      <c r="P5" s="20"/>
      <c r="Q5" s="20"/>
      <c r="R5" s="17">
        <f>L5/30*P5</f>
        <v>0</v>
      </c>
      <c r="S5" s="21">
        <f>L5+N5+O5-R5</f>
        <v>12823.499999999996</v>
      </c>
      <c r="T5" s="22">
        <v>31</v>
      </c>
      <c r="U5" s="22"/>
      <c r="V5" s="86" t="s">
        <v>91</v>
      </c>
      <c r="W5" s="45" t="s">
        <v>92</v>
      </c>
      <c r="X5" s="23"/>
      <c r="Y5" s="95">
        <v>18312</v>
      </c>
      <c r="Z5" s="30">
        <f>Y5*14</f>
        <v>256368</v>
      </c>
      <c r="AA5" s="30">
        <v>12823.499999999996</v>
      </c>
      <c r="AB5" s="22">
        <v>60</v>
      </c>
      <c r="AC5" s="30">
        <f>Y5/30*60</f>
        <v>36624</v>
      </c>
      <c r="AD5" s="21">
        <v>5000</v>
      </c>
      <c r="AE5" s="31">
        <f t="shared" si="0"/>
        <v>297992</v>
      </c>
      <c r="AF5" s="22"/>
    </row>
    <row r="6" spans="3:32" ht="15.75" x14ac:dyDescent="0.25">
      <c r="C6" s="13" t="s">
        <v>23</v>
      </c>
      <c r="D6" s="94" t="s">
        <v>65</v>
      </c>
      <c r="E6" s="86" t="s">
        <v>27</v>
      </c>
      <c r="F6" s="14"/>
      <c r="G6" s="16"/>
      <c r="H6" s="17"/>
      <c r="I6" s="17"/>
      <c r="J6" s="25"/>
      <c r="K6" s="18"/>
      <c r="L6" s="19">
        <v>11330</v>
      </c>
      <c r="M6" s="19"/>
      <c r="N6" s="20"/>
      <c r="O6" s="20"/>
      <c r="P6" s="20"/>
      <c r="Q6" s="20"/>
      <c r="R6" s="17"/>
      <c r="S6" s="21"/>
      <c r="T6" s="22"/>
      <c r="U6" s="22"/>
      <c r="V6" s="86" t="s">
        <v>67</v>
      </c>
      <c r="W6" s="45" t="s">
        <v>93</v>
      </c>
      <c r="X6" s="23"/>
      <c r="Y6" s="95">
        <v>11354</v>
      </c>
      <c r="Z6" s="30">
        <f>Y6*14</f>
        <v>158956</v>
      </c>
      <c r="AA6" s="30">
        <v>11330</v>
      </c>
      <c r="AB6" s="22">
        <v>60</v>
      </c>
      <c r="AC6" s="30">
        <f>Y6/30*60</f>
        <v>22708</v>
      </c>
      <c r="AD6" s="21">
        <v>3600</v>
      </c>
      <c r="AE6" s="31">
        <f t="shared" si="0"/>
        <v>185264</v>
      </c>
      <c r="AF6" s="22"/>
    </row>
    <row r="7" spans="3:32" ht="15.75" x14ac:dyDescent="0.25">
      <c r="C7" s="13" t="s">
        <v>26</v>
      </c>
      <c r="D7" s="94" t="s">
        <v>66</v>
      </c>
      <c r="E7" s="86" t="s">
        <v>27</v>
      </c>
      <c r="F7" s="15"/>
      <c r="G7" s="16"/>
      <c r="H7" s="17"/>
      <c r="I7" s="17"/>
      <c r="J7" s="25"/>
      <c r="K7" s="18"/>
      <c r="L7" s="41"/>
      <c r="M7" s="19"/>
      <c r="N7" s="20"/>
      <c r="O7" s="20"/>
      <c r="P7" s="20"/>
      <c r="Q7" s="20"/>
      <c r="R7" s="17">
        <f>L7/30*P7</f>
        <v>0</v>
      </c>
      <c r="S7" s="21">
        <f>L7+N7+O7-R7</f>
        <v>0</v>
      </c>
      <c r="T7" s="22"/>
      <c r="U7" s="22"/>
      <c r="V7" s="86" t="s">
        <v>68</v>
      </c>
      <c r="W7" s="45" t="s">
        <v>94</v>
      </c>
      <c r="X7" s="23"/>
      <c r="Y7" s="95">
        <v>11292</v>
      </c>
      <c r="Z7" s="30">
        <f>Y7*16</f>
        <v>180672</v>
      </c>
      <c r="AA7" s="68">
        <v>18461.947887499995</v>
      </c>
      <c r="AB7" s="22">
        <v>60</v>
      </c>
      <c r="AC7" s="30">
        <f>Y7/30*60</f>
        <v>22584</v>
      </c>
      <c r="AD7" s="22">
        <v>2200</v>
      </c>
      <c r="AE7" s="31">
        <f t="shared" si="0"/>
        <v>205456</v>
      </c>
      <c r="AF7" s="22"/>
    </row>
    <row r="8" spans="3:32" ht="15.75" x14ac:dyDescent="0.25">
      <c r="C8" s="13" t="s">
        <v>29</v>
      </c>
      <c r="D8" s="92" t="s">
        <v>212</v>
      </c>
      <c r="E8" s="86" t="s">
        <v>27</v>
      </c>
      <c r="F8" s="15"/>
      <c r="G8" s="16"/>
      <c r="H8" s="17"/>
      <c r="I8" s="17"/>
      <c r="J8" s="25"/>
      <c r="K8" s="18"/>
      <c r="L8" s="41"/>
      <c r="M8" s="19"/>
      <c r="N8" s="20"/>
      <c r="O8" s="20"/>
      <c r="P8" s="20"/>
      <c r="Q8" s="20"/>
      <c r="R8" s="17"/>
      <c r="S8" s="21"/>
      <c r="T8" s="22"/>
      <c r="U8" s="22"/>
      <c r="V8" s="86" t="s">
        <v>216</v>
      </c>
      <c r="W8" s="45" t="s">
        <v>1087</v>
      </c>
      <c r="X8" s="23"/>
      <c r="Y8" s="95">
        <v>12475</v>
      </c>
      <c r="Z8" s="30">
        <f>Y8*23</f>
        <v>286925</v>
      </c>
      <c r="AA8" s="68"/>
      <c r="AB8" s="22">
        <v>60</v>
      </c>
      <c r="AC8" s="21">
        <f>Y8/30*60</f>
        <v>24950</v>
      </c>
      <c r="AD8" s="22">
        <v>1500</v>
      </c>
      <c r="AE8" s="31">
        <f t="shared" si="0"/>
        <v>313375</v>
      </c>
      <c r="AF8" s="22"/>
    </row>
    <row r="9" spans="3:32" ht="15.75" x14ac:dyDescent="0.25">
      <c r="C9" s="13" t="s">
        <v>31</v>
      </c>
      <c r="D9" s="92" t="s">
        <v>222</v>
      </c>
      <c r="E9" s="86" t="s">
        <v>27</v>
      </c>
      <c r="F9" s="15"/>
      <c r="G9" s="16"/>
      <c r="H9" s="17"/>
      <c r="I9" s="17"/>
      <c r="J9" s="25"/>
      <c r="K9" s="18"/>
      <c r="L9" s="41"/>
      <c r="M9" s="19"/>
      <c r="N9" s="20"/>
      <c r="O9" s="20"/>
      <c r="P9" s="20"/>
      <c r="Q9" s="20"/>
      <c r="R9" s="17"/>
      <c r="S9" s="21"/>
      <c r="T9" s="22"/>
      <c r="U9" s="22"/>
      <c r="V9" s="86" t="s">
        <v>216</v>
      </c>
      <c r="W9" s="45" t="s">
        <v>1087</v>
      </c>
      <c r="X9" s="23"/>
      <c r="Y9" s="95">
        <v>12976</v>
      </c>
      <c r="Z9" s="30">
        <f>Y9*23</f>
        <v>298448</v>
      </c>
      <c r="AA9" s="68"/>
      <c r="AB9" s="22">
        <v>60</v>
      </c>
      <c r="AC9" s="21">
        <f>Y9/30*60</f>
        <v>25952</v>
      </c>
      <c r="AD9" s="22">
        <v>1500</v>
      </c>
      <c r="AE9" s="31">
        <f t="shared" si="0"/>
        <v>325900</v>
      </c>
      <c r="AF9" s="22"/>
    </row>
    <row r="10" spans="3:32" ht="15.75" x14ac:dyDescent="0.25">
      <c r="C10" s="13"/>
      <c r="D10" s="93"/>
      <c r="E10" s="86"/>
      <c r="F10" s="15"/>
      <c r="G10" s="16"/>
      <c r="H10" s="17"/>
      <c r="I10" s="17"/>
      <c r="J10" s="25"/>
      <c r="K10" s="18"/>
      <c r="L10" s="41"/>
      <c r="M10" s="19"/>
      <c r="N10" s="20"/>
      <c r="O10" s="20"/>
      <c r="P10" s="20"/>
      <c r="Q10" s="20"/>
      <c r="R10" s="17"/>
      <c r="S10" s="21"/>
      <c r="T10" s="22"/>
      <c r="U10" s="22"/>
      <c r="V10" s="86"/>
      <c r="W10" s="45"/>
      <c r="X10" s="23"/>
      <c r="Y10" s="95"/>
      <c r="Z10" s="30"/>
      <c r="AA10" s="68"/>
      <c r="AB10" s="22"/>
      <c r="AC10" s="30"/>
      <c r="AD10" s="22"/>
      <c r="AE10" s="31"/>
      <c r="AF10" s="22"/>
    </row>
    <row r="11" spans="3:32" ht="15.75" x14ac:dyDescent="0.25">
      <c r="C11" s="13"/>
      <c r="D11" s="238" t="s">
        <v>369</v>
      </c>
      <c r="E11" s="86"/>
      <c r="F11" s="15"/>
      <c r="G11" s="16"/>
      <c r="H11" s="17"/>
      <c r="I11" s="17"/>
      <c r="J11" s="25"/>
      <c r="K11" s="18"/>
      <c r="L11" s="41"/>
      <c r="M11" s="19"/>
      <c r="N11" s="20"/>
      <c r="O11" s="20"/>
      <c r="P11" s="20"/>
      <c r="Q11" s="20"/>
      <c r="R11" s="17"/>
      <c r="S11" s="21"/>
      <c r="T11" s="22"/>
      <c r="U11" s="22"/>
      <c r="V11" s="86"/>
      <c r="W11" s="45"/>
      <c r="X11" s="23"/>
      <c r="Y11" s="95"/>
      <c r="Z11" s="30"/>
      <c r="AA11" s="68"/>
      <c r="AB11" s="22"/>
      <c r="AC11" s="30"/>
      <c r="AD11" s="22"/>
      <c r="AE11" s="31"/>
      <c r="AF11" s="22"/>
    </row>
    <row r="12" spans="3:32" ht="15.75" x14ac:dyDescent="0.25">
      <c r="C12" s="13" t="s">
        <v>33</v>
      </c>
      <c r="D12" s="92" t="s">
        <v>371</v>
      </c>
      <c r="E12" s="86" t="s">
        <v>372</v>
      </c>
      <c r="F12" s="15"/>
      <c r="G12" s="16"/>
      <c r="H12" s="17"/>
      <c r="I12" s="17"/>
      <c r="J12" s="25"/>
      <c r="K12" s="18"/>
      <c r="L12" s="41"/>
      <c r="M12" s="19"/>
      <c r="N12" s="20"/>
      <c r="O12" s="20"/>
      <c r="P12" s="20"/>
      <c r="Q12" s="20"/>
      <c r="R12" s="17"/>
      <c r="S12" s="21"/>
      <c r="T12" s="22"/>
      <c r="U12" s="22"/>
      <c r="V12" s="86" t="s">
        <v>375</v>
      </c>
      <c r="W12" s="45" t="s">
        <v>1098</v>
      </c>
      <c r="X12" s="23"/>
      <c r="Y12" s="95">
        <v>11976</v>
      </c>
      <c r="Z12" s="30">
        <f>Y12*13</f>
        <v>155688</v>
      </c>
      <c r="AA12" s="68"/>
      <c r="AB12" s="22">
        <v>60</v>
      </c>
      <c r="AC12" s="21">
        <f>Y12/30*60</f>
        <v>23952</v>
      </c>
      <c r="AD12" s="22">
        <v>5000</v>
      </c>
      <c r="AE12" s="31">
        <f t="shared" si="0"/>
        <v>184640</v>
      </c>
      <c r="AF12" s="22"/>
    </row>
    <row r="13" spans="3:32" ht="30" x14ac:dyDescent="0.25">
      <c r="C13" s="13" t="s">
        <v>35</v>
      </c>
      <c r="D13" s="92" t="s">
        <v>378</v>
      </c>
      <c r="E13" s="86" t="s">
        <v>379</v>
      </c>
      <c r="F13" s="15"/>
      <c r="G13" s="16"/>
      <c r="H13" s="17"/>
      <c r="I13" s="17"/>
      <c r="J13" s="25"/>
      <c r="K13" s="18"/>
      <c r="L13" s="41"/>
      <c r="M13" s="19"/>
      <c r="N13" s="20"/>
      <c r="O13" s="20"/>
      <c r="P13" s="20"/>
      <c r="Q13" s="20"/>
      <c r="R13" s="17"/>
      <c r="S13" s="21"/>
      <c r="T13" s="22"/>
      <c r="U13" s="22"/>
      <c r="V13" s="86" t="s">
        <v>382</v>
      </c>
      <c r="W13" s="45" t="s">
        <v>1099</v>
      </c>
      <c r="X13" s="23"/>
      <c r="Y13" s="95">
        <v>8864</v>
      </c>
      <c r="Z13" s="30">
        <f>Y13*12</f>
        <v>106368</v>
      </c>
      <c r="AA13" s="68"/>
      <c r="AB13" s="22">
        <v>60</v>
      </c>
      <c r="AC13" s="21">
        <f>Y13/30*60</f>
        <v>17728</v>
      </c>
      <c r="AD13" s="22"/>
      <c r="AE13" s="31">
        <f t="shared" si="0"/>
        <v>124096</v>
      </c>
      <c r="AF13" s="22"/>
    </row>
    <row r="14" spans="3:32" ht="16.5" thickBot="1" x14ac:dyDescent="0.3">
      <c r="C14" s="13"/>
      <c r="D14" s="93"/>
      <c r="E14" s="86"/>
      <c r="F14" s="15"/>
      <c r="G14" s="16"/>
      <c r="H14" s="17"/>
      <c r="I14" s="17"/>
      <c r="J14" s="25"/>
      <c r="K14" s="18"/>
      <c r="L14" s="41"/>
      <c r="M14" s="19"/>
      <c r="N14" s="20"/>
      <c r="O14" s="20"/>
      <c r="P14" s="20"/>
      <c r="Q14" s="20"/>
      <c r="R14" s="17"/>
      <c r="S14" s="21"/>
      <c r="T14" s="22"/>
      <c r="U14" s="22"/>
      <c r="V14" s="86"/>
      <c r="W14" s="45"/>
      <c r="X14" s="23"/>
      <c r="Y14" s="22"/>
      <c r="Z14" s="30"/>
      <c r="AA14" s="22"/>
      <c r="AB14" s="22"/>
      <c r="AC14" s="30"/>
      <c r="AD14" s="22"/>
      <c r="AE14" s="31">
        <f t="shared" si="0"/>
        <v>0</v>
      </c>
      <c r="AF14" s="22"/>
    </row>
    <row r="15" spans="3:32" ht="16.5" thickBot="1" x14ac:dyDescent="0.3">
      <c r="C15" s="13"/>
      <c r="D15" s="38" t="s">
        <v>71</v>
      </c>
      <c r="E15" s="86"/>
      <c r="F15" s="15"/>
      <c r="G15" s="16"/>
      <c r="H15" s="17"/>
      <c r="I15" s="17"/>
      <c r="J15" s="25"/>
      <c r="K15" s="18"/>
      <c r="L15" s="41"/>
      <c r="M15" s="19"/>
      <c r="N15" s="20"/>
      <c r="O15" s="20"/>
      <c r="P15" s="20"/>
      <c r="Q15" s="20"/>
      <c r="R15" s="17"/>
      <c r="S15" s="21"/>
      <c r="T15" s="22"/>
      <c r="U15" s="22"/>
      <c r="V15" s="86"/>
      <c r="W15" s="45"/>
      <c r="X15" s="23"/>
      <c r="Y15" s="22"/>
      <c r="Z15" s="30"/>
      <c r="AA15" s="22"/>
      <c r="AB15" s="22"/>
      <c r="AC15" s="30"/>
      <c r="AD15" s="22"/>
      <c r="AE15" s="31">
        <f t="shared" si="0"/>
        <v>0</v>
      </c>
      <c r="AF15" s="22"/>
    </row>
    <row r="16" spans="3:32" ht="15.75" x14ac:dyDescent="0.25">
      <c r="C16" s="13" t="s">
        <v>36</v>
      </c>
      <c r="D16" s="94" t="s">
        <v>69</v>
      </c>
      <c r="E16" s="91" t="s">
        <v>70</v>
      </c>
      <c r="F16" s="15"/>
      <c r="G16" s="16"/>
      <c r="H16" s="17"/>
      <c r="I16" s="17"/>
      <c r="J16" s="25"/>
      <c r="K16" s="18"/>
      <c r="L16" s="41"/>
      <c r="M16" s="19"/>
      <c r="N16" s="20"/>
      <c r="O16" s="20"/>
      <c r="P16" s="20"/>
      <c r="Q16" s="20"/>
      <c r="R16" s="17"/>
      <c r="S16" s="21"/>
      <c r="T16" s="22"/>
      <c r="U16" s="22"/>
      <c r="V16" s="86" t="s">
        <v>72</v>
      </c>
      <c r="W16" s="45" t="s">
        <v>95</v>
      </c>
      <c r="X16" s="23"/>
      <c r="Y16" s="95">
        <v>15000</v>
      </c>
      <c r="Z16" s="30"/>
      <c r="AA16" s="22">
        <v>25000</v>
      </c>
      <c r="AB16" s="22">
        <v>5</v>
      </c>
      <c r="AC16" s="30">
        <f>Y16/30*5</f>
        <v>2500</v>
      </c>
      <c r="AD16" s="22"/>
      <c r="AE16" s="31">
        <f t="shared" si="0"/>
        <v>2500</v>
      </c>
      <c r="AF16" s="22"/>
    </row>
    <row r="17" spans="3:32" ht="16.5" thickBot="1" x14ac:dyDescent="0.3">
      <c r="C17" s="13"/>
      <c r="D17" s="93"/>
      <c r="E17" s="91"/>
      <c r="F17" s="15"/>
      <c r="G17" s="16"/>
      <c r="H17" s="17"/>
      <c r="I17" s="17"/>
      <c r="J17" s="25"/>
      <c r="K17" s="18"/>
      <c r="L17" s="41"/>
      <c r="M17" s="19"/>
      <c r="N17" s="20"/>
      <c r="O17" s="20"/>
      <c r="P17" s="20"/>
      <c r="Q17" s="20"/>
      <c r="R17" s="17"/>
      <c r="S17" s="21"/>
      <c r="T17" s="22"/>
      <c r="U17" s="22"/>
      <c r="V17" s="86"/>
      <c r="W17" s="45"/>
      <c r="X17" s="23"/>
      <c r="Y17" s="22"/>
      <c r="Z17" s="30"/>
      <c r="AA17" s="22"/>
      <c r="AB17" s="22"/>
      <c r="AC17" s="30"/>
      <c r="AD17" s="22"/>
      <c r="AE17" s="31">
        <f t="shared" si="0"/>
        <v>0</v>
      </c>
      <c r="AF17" s="22"/>
    </row>
    <row r="18" spans="3:32" ht="16.5" thickBot="1" x14ac:dyDescent="0.3">
      <c r="C18" s="13"/>
      <c r="D18" s="38" t="s">
        <v>75</v>
      </c>
      <c r="E18" s="91"/>
      <c r="F18" s="15"/>
      <c r="G18" s="16"/>
      <c r="H18" s="17"/>
      <c r="I18" s="17"/>
      <c r="J18" s="25"/>
      <c r="K18" s="18"/>
      <c r="L18" s="41"/>
      <c r="M18" s="19"/>
      <c r="N18" s="20"/>
      <c r="O18" s="20"/>
      <c r="P18" s="20"/>
      <c r="Q18" s="20"/>
      <c r="R18" s="17"/>
      <c r="S18" s="21"/>
      <c r="T18" s="22"/>
      <c r="U18" s="22"/>
      <c r="V18" s="86"/>
      <c r="W18" s="45"/>
      <c r="X18" s="23"/>
      <c r="Y18" s="22"/>
      <c r="Z18" s="30"/>
      <c r="AA18" s="22"/>
      <c r="AB18" s="22"/>
      <c r="AC18" s="30"/>
      <c r="AD18" s="22"/>
      <c r="AE18" s="31">
        <f t="shared" si="0"/>
        <v>0</v>
      </c>
      <c r="AF18" s="22"/>
    </row>
    <row r="19" spans="3:32" ht="15.75" x14ac:dyDescent="0.25">
      <c r="C19" s="13" t="s">
        <v>38</v>
      </c>
      <c r="D19" s="94" t="s">
        <v>73</v>
      </c>
      <c r="E19" s="86" t="s">
        <v>74</v>
      </c>
      <c r="F19" s="15"/>
      <c r="G19" s="16"/>
      <c r="H19" s="17"/>
      <c r="I19" s="17"/>
      <c r="J19" s="25"/>
      <c r="K19" s="18"/>
      <c r="L19" s="41"/>
      <c r="M19" s="19"/>
      <c r="N19" s="20"/>
      <c r="O19" s="20"/>
      <c r="P19" s="20"/>
      <c r="Q19" s="20"/>
      <c r="R19" s="17"/>
      <c r="S19" s="21"/>
      <c r="T19" s="22"/>
      <c r="U19" s="22"/>
      <c r="V19" s="86" t="s">
        <v>76</v>
      </c>
      <c r="W19" s="45" t="s">
        <v>96</v>
      </c>
      <c r="X19" s="23"/>
      <c r="Y19" s="95">
        <v>15154</v>
      </c>
      <c r="Z19" s="30">
        <f>Y19*22</f>
        <v>333388</v>
      </c>
      <c r="AA19" s="68">
        <v>24775.648840000005</v>
      </c>
      <c r="AB19" s="22">
        <v>60</v>
      </c>
      <c r="AC19" s="30">
        <f>Y19/30*60</f>
        <v>30308</v>
      </c>
      <c r="AD19" s="22">
        <v>2000</v>
      </c>
      <c r="AE19" s="31">
        <f t="shared" si="0"/>
        <v>365696</v>
      </c>
      <c r="AF19" s="22"/>
    </row>
    <row r="20" spans="3:32" ht="16.5" thickBot="1" x14ac:dyDescent="0.3">
      <c r="C20" s="13"/>
      <c r="D20" s="93"/>
      <c r="E20" s="86"/>
      <c r="F20" s="15"/>
      <c r="G20" s="16"/>
      <c r="H20" s="17"/>
      <c r="I20" s="17"/>
      <c r="J20" s="25"/>
      <c r="K20" s="18"/>
      <c r="L20" s="41"/>
      <c r="M20" s="19"/>
      <c r="N20" s="20"/>
      <c r="O20" s="20"/>
      <c r="P20" s="20"/>
      <c r="Q20" s="20"/>
      <c r="R20" s="17"/>
      <c r="S20" s="21"/>
      <c r="T20" s="22"/>
      <c r="U20" s="22"/>
      <c r="V20" s="86"/>
      <c r="W20" s="45"/>
      <c r="X20" s="23"/>
      <c r="Y20" s="22"/>
      <c r="Z20" s="30"/>
      <c r="AA20" s="22"/>
      <c r="AB20" s="22"/>
      <c r="AC20" s="30"/>
      <c r="AD20" s="22"/>
      <c r="AE20" s="31">
        <f t="shared" si="0"/>
        <v>0</v>
      </c>
      <c r="AF20" s="22"/>
    </row>
    <row r="21" spans="3:32" ht="16.5" thickBot="1" x14ac:dyDescent="0.3">
      <c r="C21" s="13"/>
      <c r="D21" s="38" t="s">
        <v>77</v>
      </c>
      <c r="E21" s="86"/>
      <c r="F21" s="15"/>
      <c r="G21" s="16"/>
      <c r="H21" s="17"/>
      <c r="I21" s="17"/>
      <c r="J21" s="25"/>
      <c r="K21" s="18"/>
      <c r="L21" s="41"/>
      <c r="M21" s="19"/>
      <c r="N21" s="20"/>
      <c r="O21" s="20"/>
      <c r="P21" s="20"/>
      <c r="Q21" s="20"/>
      <c r="R21" s="17"/>
      <c r="S21" s="21"/>
      <c r="T21" s="22"/>
      <c r="U21" s="22"/>
      <c r="V21" s="86"/>
      <c r="W21" s="45"/>
      <c r="X21" s="23"/>
      <c r="Y21" s="22"/>
      <c r="Z21" s="30"/>
      <c r="AA21" s="22"/>
      <c r="AB21" s="22"/>
      <c r="AC21" s="30"/>
      <c r="AD21" s="22"/>
      <c r="AE21" s="31">
        <f t="shared" si="0"/>
        <v>0</v>
      </c>
      <c r="AF21" s="22"/>
    </row>
    <row r="22" spans="3:32" ht="15.75" x14ac:dyDescent="0.25">
      <c r="C22" s="13" t="s">
        <v>40</v>
      </c>
      <c r="D22" s="94" t="s">
        <v>78</v>
      </c>
      <c r="E22" s="86" t="s">
        <v>79</v>
      </c>
      <c r="F22" s="15"/>
      <c r="G22" s="16"/>
      <c r="H22" s="17"/>
      <c r="I22" s="17"/>
      <c r="J22" s="25"/>
      <c r="K22" s="18"/>
      <c r="L22" s="41"/>
      <c r="M22" s="19"/>
      <c r="N22" s="20"/>
      <c r="O22" s="20"/>
      <c r="P22" s="20"/>
      <c r="Q22" s="20"/>
      <c r="R22" s="17"/>
      <c r="S22" s="21"/>
      <c r="T22" s="22"/>
      <c r="U22" s="22"/>
      <c r="V22" s="86" t="s">
        <v>80</v>
      </c>
      <c r="W22" s="45" t="s">
        <v>97</v>
      </c>
      <c r="X22" s="23"/>
      <c r="Y22" s="95">
        <v>12600</v>
      </c>
      <c r="Z22" s="30">
        <f>Y22*21</f>
        <v>264600</v>
      </c>
      <c r="AA22" s="158">
        <v>21000.199999999997</v>
      </c>
      <c r="AB22" s="22">
        <v>60</v>
      </c>
      <c r="AC22" s="30">
        <f>Y22/30*60</f>
        <v>25200</v>
      </c>
      <c r="AD22" s="22">
        <v>2500</v>
      </c>
      <c r="AE22" s="31">
        <f t="shared" si="0"/>
        <v>292300</v>
      </c>
      <c r="AF22" s="22"/>
    </row>
    <row r="23" spans="3:32" ht="16.5" thickBot="1" x14ac:dyDescent="0.3">
      <c r="C23" s="13"/>
      <c r="D23" s="93"/>
      <c r="E23" s="86"/>
      <c r="F23" s="15"/>
      <c r="G23" s="16"/>
      <c r="H23" s="17"/>
      <c r="I23" s="17"/>
      <c r="J23" s="25"/>
      <c r="K23" s="18"/>
      <c r="L23" s="41"/>
      <c r="M23" s="19"/>
      <c r="N23" s="20"/>
      <c r="O23" s="20"/>
      <c r="P23" s="20"/>
      <c r="Q23" s="20"/>
      <c r="R23" s="17"/>
      <c r="S23" s="21"/>
      <c r="T23" s="22"/>
      <c r="U23" s="22"/>
      <c r="V23" s="86"/>
      <c r="W23" s="45"/>
      <c r="X23" s="23"/>
      <c r="Y23" s="22"/>
      <c r="Z23" s="30"/>
      <c r="AA23" s="22"/>
      <c r="AB23" s="22"/>
      <c r="AC23" s="30"/>
      <c r="AD23" s="22"/>
      <c r="AE23" s="31">
        <f t="shared" si="0"/>
        <v>0</v>
      </c>
      <c r="AF23" s="22"/>
    </row>
    <row r="24" spans="3:32" ht="16.5" thickBot="1" x14ac:dyDescent="0.3">
      <c r="C24" s="13"/>
      <c r="D24" s="38" t="s">
        <v>47</v>
      </c>
      <c r="E24" s="86"/>
      <c r="F24" s="15"/>
      <c r="G24" s="16"/>
      <c r="H24" s="17"/>
      <c r="I24" s="17"/>
      <c r="J24" s="25"/>
      <c r="K24" s="18"/>
      <c r="L24" s="41"/>
      <c r="M24" s="19"/>
      <c r="N24" s="20"/>
      <c r="O24" s="20"/>
      <c r="P24" s="20"/>
      <c r="Q24" s="20"/>
      <c r="R24" s="17"/>
      <c r="S24" s="21"/>
      <c r="T24" s="22"/>
      <c r="U24" s="22"/>
      <c r="V24" s="86"/>
      <c r="W24" s="45"/>
      <c r="X24" s="23"/>
      <c r="Y24" s="22"/>
      <c r="Z24" s="30"/>
      <c r="AA24" s="22"/>
      <c r="AB24" s="22"/>
      <c r="AC24" s="30"/>
      <c r="AD24" s="22"/>
      <c r="AE24" s="31">
        <f t="shared" si="0"/>
        <v>0</v>
      </c>
      <c r="AF24" s="22"/>
    </row>
    <row r="25" spans="3:32" ht="30" x14ac:dyDescent="0.25">
      <c r="C25" s="13" t="s">
        <v>43</v>
      </c>
      <c r="D25" s="94" t="s">
        <v>81</v>
      </c>
      <c r="E25" s="86" t="s">
        <v>82</v>
      </c>
      <c r="F25" s="15"/>
      <c r="G25" s="16"/>
      <c r="H25" s="17"/>
      <c r="I25" s="17"/>
      <c r="J25" s="25"/>
      <c r="K25" s="18"/>
      <c r="L25" s="41"/>
      <c r="M25" s="19"/>
      <c r="N25" s="20"/>
      <c r="O25" s="20"/>
      <c r="P25" s="20"/>
      <c r="Q25" s="20"/>
      <c r="R25" s="17"/>
      <c r="S25" s="21"/>
      <c r="T25" s="22"/>
      <c r="U25" s="22"/>
      <c r="V25" s="86" t="s">
        <v>50</v>
      </c>
      <c r="W25" s="45" t="s">
        <v>98</v>
      </c>
      <c r="X25" s="23"/>
      <c r="Y25" s="95">
        <v>19735</v>
      </c>
      <c r="Z25" s="30">
        <f>Y25*16</f>
        <v>315760</v>
      </c>
      <c r="AA25" s="68">
        <v>32265.913899999992</v>
      </c>
      <c r="AB25" s="22">
        <v>60</v>
      </c>
      <c r="AC25" s="30">
        <f>Y25/30*60</f>
        <v>39470</v>
      </c>
      <c r="AD25" s="22">
        <v>4400</v>
      </c>
      <c r="AE25" s="31">
        <f t="shared" si="0"/>
        <v>359630</v>
      </c>
      <c r="AF25" s="22"/>
    </row>
    <row r="26" spans="3:32" ht="15.75" x14ac:dyDescent="0.25">
      <c r="C26" s="13" t="s">
        <v>44</v>
      </c>
      <c r="D26" s="94" t="s">
        <v>83</v>
      </c>
      <c r="E26" s="86" t="s">
        <v>53</v>
      </c>
      <c r="F26" s="15"/>
      <c r="G26" s="16"/>
      <c r="H26" s="17"/>
      <c r="I26" s="17"/>
      <c r="J26" s="25"/>
      <c r="K26" s="18"/>
      <c r="L26" s="41"/>
      <c r="M26" s="19"/>
      <c r="N26" s="20"/>
      <c r="O26" s="20"/>
      <c r="P26" s="20"/>
      <c r="Q26" s="20"/>
      <c r="R26" s="17"/>
      <c r="S26" s="21"/>
      <c r="T26" s="22"/>
      <c r="U26" s="22"/>
      <c r="V26" s="86" t="s">
        <v>50</v>
      </c>
      <c r="W26" s="45" t="s">
        <v>98</v>
      </c>
      <c r="X26" s="23"/>
      <c r="Y26" s="95">
        <v>10893</v>
      </c>
      <c r="Z26" s="30">
        <f>Y26*16</f>
        <v>174288</v>
      </c>
      <c r="AA26" s="68">
        <v>17808.833899999994</v>
      </c>
      <c r="AB26" s="22">
        <v>60</v>
      </c>
      <c r="AC26" s="30">
        <f>Y26/30*60</f>
        <v>21786</v>
      </c>
      <c r="AD26" s="22">
        <v>2200</v>
      </c>
      <c r="AE26" s="31">
        <f t="shared" si="0"/>
        <v>198274</v>
      </c>
      <c r="AF26" s="22"/>
    </row>
    <row r="27" spans="3:32" ht="15.75" x14ac:dyDescent="0.25">
      <c r="C27" s="13" t="s">
        <v>197</v>
      </c>
      <c r="D27" s="92" t="s">
        <v>708</v>
      </c>
      <c r="E27" s="86" t="s">
        <v>37</v>
      </c>
      <c r="F27" s="15"/>
      <c r="G27" s="16"/>
      <c r="H27" s="17"/>
      <c r="I27" s="17"/>
      <c r="J27" s="25"/>
      <c r="K27" s="18"/>
      <c r="L27" s="41"/>
      <c r="M27" s="19"/>
      <c r="N27" s="20"/>
      <c r="O27" s="20"/>
      <c r="P27" s="20"/>
      <c r="Q27" s="20"/>
      <c r="R27" s="17"/>
      <c r="S27" s="21"/>
      <c r="T27" s="22"/>
      <c r="U27" s="22"/>
      <c r="V27" s="86" t="s">
        <v>359</v>
      </c>
      <c r="W27" s="45" t="s">
        <v>1096</v>
      </c>
      <c r="X27" s="23"/>
      <c r="Y27" s="95">
        <v>6382</v>
      </c>
      <c r="Z27" s="30">
        <f>Y27*5</f>
        <v>31910</v>
      </c>
      <c r="AA27" s="68"/>
      <c r="AB27" s="22">
        <v>28</v>
      </c>
      <c r="AC27" s="21">
        <f>Y27/30*28</f>
        <v>5956.5333333333328</v>
      </c>
      <c r="AD27" s="22"/>
      <c r="AE27" s="31">
        <f t="shared" si="0"/>
        <v>37866.533333333333</v>
      </c>
      <c r="AF27" s="22"/>
    </row>
    <row r="28" spans="3:32" ht="15.75" x14ac:dyDescent="0.25">
      <c r="C28" s="13" t="s">
        <v>204</v>
      </c>
      <c r="D28" s="92" t="s">
        <v>729</v>
      </c>
      <c r="E28" s="86" t="s">
        <v>53</v>
      </c>
      <c r="F28" s="15"/>
      <c r="G28" s="16"/>
      <c r="H28" s="17"/>
      <c r="I28" s="17"/>
      <c r="J28" s="25"/>
      <c r="K28" s="18"/>
      <c r="L28" s="41"/>
      <c r="M28" s="19"/>
      <c r="N28" s="20"/>
      <c r="O28" s="20"/>
      <c r="P28" s="20"/>
      <c r="Q28" s="20"/>
      <c r="R28" s="17"/>
      <c r="S28" s="21"/>
      <c r="T28" s="22"/>
      <c r="U28" s="22"/>
      <c r="V28" s="86" t="s">
        <v>731</v>
      </c>
      <c r="W28" s="45" t="s">
        <v>1096</v>
      </c>
      <c r="X28" s="23"/>
      <c r="Y28" s="95">
        <v>6382</v>
      </c>
      <c r="Z28" s="30">
        <f>Y28*5</f>
        <v>31910</v>
      </c>
      <c r="AA28" s="68"/>
      <c r="AB28" s="22">
        <v>35</v>
      </c>
      <c r="AC28" s="21">
        <f>Y28/30*35</f>
        <v>7445.6666666666661</v>
      </c>
      <c r="AD28" s="22"/>
      <c r="AE28" s="31">
        <f t="shared" si="0"/>
        <v>39355.666666666664</v>
      </c>
      <c r="AF28" s="22"/>
    </row>
    <row r="29" spans="3:32" ht="15.75" x14ac:dyDescent="0.25">
      <c r="C29" s="13" t="s">
        <v>211</v>
      </c>
      <c r="D29" s="92" t="s">
        <v>734</v>
      </c>
      <c r="E29" s="86" t="s">
        <v>37</v>
      </c>
      <c r="F29" s="15"/>
      <c r="G29" s="16"/>
      <c r="H29" s="17"/>
      <c r="I29" s="17"/>
      <c r="J29" s="25"/>
      <c r="K29" s="18"/>
      <c r="L29" s="41"/>
      <c r="M29" s="19"/>
      <c r="N29" s="20"/>
      <c r="O29" s="20"/>
      <c r="P29" s="20"/>
      <c r="Q29" s="20"/>
      <c r="R29" s="17"/>
      <c r="S29" s="21"/>
      <c r="T29" s="22"/>
      <c r="U29" s="22"/>
      <c r="V29" s="86" t="s">
        <v>263</v>
      </c>
      <c r="W29" s="45" t="s">
        <v>1091</v>
      </c>
      <c r="X29" s="23"/>
      <c r="Y29" s="95">
        <v>5670</v>
      </c>
      <c r="Z29" s="30">
        <f>Y29*3</f>
        <v>17010</v>
      </c>
      <c r="AA29" s="68"/>
      <c r="AB29" s="22">
        <v>23.5</v>
      </c>
      <c r="AC29" s="30">
        <f>Y29/30*23.5</f>
        <v>4441.5</v>
      </c>
      <c r="AD29" s="22"/>
      <c r="AE29" s="31">
        <f t="shared" si="0"/>
        <v>21451.5</v>
      </c>
      <c r="AF29" s="22"/>
    </row>
    <row r="30" spans="3:32" ht="15.75" x14ac:dyDescent="0.25">
      <c r="C30" s="13"/>
      <c r="D30" s="93"/>
      <c r="E30" s="86"/>
      <c r="F30" s="15"/>
      <c r="G30" s="16"/>
      <c r="H30" s="17"/>
      <c r="I30" s="17"/>
      <c r="J30" s="25"/>
      <c r="K30" s="18"/>
      <c r="L30" s="41"/>
      <c r="M30" s="19"/>
      <c r="N30" s="20"/>
      <c r="O30" s="20"/>
      <c r="P30" s="20"/>
      <c r="Q30" s="20"/>
      <c r="R30" s="17"/>
      <c r="S30" s="21"/>
      <c r="T30" s="22"/>
      <c r="U30" s="22"/>
      <c r="V30" s="86"/>
      <c r="W30" s="45"/>
      <c r="X30" s="23"/>
      <c r="Y30" s="22"/>
      <c r="Z30" s="30"/>
      <c r="AA30" s="22"/>
      <c r="AB30" s="22"/>
      <c r="AC30" s="30"/>
      <c r="AD30" s="22"/>
      <c r="AE30" s="31">
        <f t="shared" si="0"/>
        <v>0</v>
      </c>
      <c r="AF30" s="22"/>
    </row>
    <row r="31" spans="3:32" ht="15.75" x14ac:dyDescent="0.25">
      <c r="C31" s="13"/>
      <c r="D31" s="42" t="s">
        <v>30</v>
      </c>
      <c r="E31" s="33"/>
      <c r="F31" s="22"/>
      <c r="G31" s="16"/>
      <c r="H31" s="17"/>
      <c r="I31" s="17"/>
      <c r="J31" s="25"/>
      <c r="K31" s="18"/>
      <c r="L31" s="19"/>
      <c r="M31" s="19"/>
      <c r="N31" s="20"/>
      <c r="O31" s="20"/>
      <c r="P31" s="20"/>
      <c r="Q31" s="20"/>
      <c r="R31" s="17"/>
      <c r="S31" s="21"/>
      <c r="T31" s="34"/>
      <c r="U31" s="35"/>
      <c r="V31" s="35"/>
      <c r="W31" s="45"/>
      <c r="X31" s="23"/>
      <c r="Y31" s="22"/>
      <c r="Z31" s="22"/>
      <c r="AA31" s="22"/>
      <c r="AB31" s="22"/>
      <c r="AC31" s="30"/>
      <c r="AD31" s="22"/>
      <c r="AE31" s="31">
        <f t="shared" si="0"/>
        <v>0</v>
      </c>
      <c r="AF31" s="22"/>
    </row>
    <row r="32" spans="3:32" s="32" customFormat="1" ht="30" x14ac:dyDescent="0.25">
      <c r="C32" s="13" t="s">
        <v>221</v>
      </c>
      <c r="D32" s="92" t="s">
        <v>753</v>
      </c>
      <c r="E32" s="86" t="s">
        <v>754</v>
      </c>
      <c r="F32" s="239"/>
      <c r="G32" s="239"/>
      <c r="H32" s="239"/>
      <c r="I32" s="239"/>
      <c r="J32" s="239"/>
      <c r="K32" s="239"/>
      <c r="L32" s="240"/>
      <c r="M32" s="241"/>
      <c r="N32" s="60"/>
      <c r="O32" s="61"/>
      <c r="P32" s="61"/>
      <c r="Q32" s="62"/>
      <c r="R32" s="63"/>
      <c r="S32" s="63"/>
      <c r="T32" s="64"/>
      <c r="U32" s="65"/>
      <c r="V32" s="86" t="s">
        <v>757</v>
      </c>
      <c r="W32" s="212" t="s">
        <v>1083</v>
      </c>
      <c r="X32" s="29"/>
      <c r="Y32" s="68">
        <v>16200</v>
      </c>
      <c r="Z32" s="68"/>
      <c r="AA32" s="68"/>
      <c r="AB32" s="28">
        <v>9</v>
      </c>
      <c r="AC32" s="30">
        <f>Y32/30*9</f>
        <v>4860</v>
      </c>
      <c r="AD32" s="21"/>
      <c r="AE32" s="31">
        <f t="shared" si="0"/>
        <v>4860</v>
      </c>
      <c r="AF32" s="28"/>
    </row>
    <row r="33" spans="3:37" s="32" customFormat="1" ht="30" x14ac:dyDescent="0.25">
      <c r="C33" s="13" t="s">
        <v>227</v>
      </c>
      <c r="D33" s="92" t="s">
        <v>774</v>
      </c>
      <c r="E33" s="86" t="s">
        <v>775</v>
      </c>
      <c r="F33" s="239"/>
      <c r="G33" s="239"/>
      <c r="H33" s="239"/>
      <c r="I33" s="239"/>
      <c r="J33" s="239"/>
      <c r="K33" s="239"/>
      <c r="L33" s="240"/>
      <c r="M33" s="241"/>
      <c r="N33" s="60"/>
      <c r="O33" s="61"/>
      <c r="P33" s="61"/>
      <c r="Q33" s="62"/>
      <c r="R33" s="63"/>
      <c r="S33" s="63"/>
      <c r="T33" s="64"/>
      <c r="U33" s="65"/>
      <c r="V33" s="86" t="s">
        <v>778</v>
      </c>
      <c r="W33" s="212" t="s">
        <v>1083</v>
      </c>
      <c r="X33" s="29"/>
      <c r="Y33" s="68">
        <v>12000</v>
      </c>
      <c r="Z33" s="68"/>
      <c r="AA33" s="68"/>
      <c r="AB33" s="28">
        <v>11</v>
      </c>
      <c r="AC33" s="30">
        <f>Y33/30*11</f>
        <v>4400</v>
      </c>
      <c r="AD33" s="21"/>
      <c r="AE33" s="31">
        <f t="shared" si="0"/>
        <v>4400</v>
      </c>
      <c r="AF33" s="28"/>
    </row>
    <row r="34" spans="3:37" s="32" customFormat="1" ht="15.75" x14ac:dyDescent="0.25">
      <c r="C34" s="13" t="s">
        <v>231</v>
      </c>
      <c r="D34" s="92" t="s">
        <v>84</v>
      </c>
      <c r="E34" s="86" t="s">
        <v>34</v>
      </c>
      <c r="F34" s="43" t="s">
        <v>32</v>
      </c>
      <c r="G34" s="43">
        <v>15000</v>
      </c>
      <c r="H34" s="43">
        <f>G34*60%</f>
        <v>9000</v>
      </c>
      <c r="I34" s="43">
        <f>G34*30%</f>
        <v>4500</v>
      </c>
      <c r="J34" s="43">
        <f>G34*5%</f>
        <v>750</v>
      </c>
      <c r="K34" s="43">
        <f>G34*5%</f>
        <v>750</v>
      </c>
      <c r="L34" s="44">
        <v>15000</v>
      </c>
      <c r="M34" s="45" t="s">
        <v>22</v>
      </c>
      <c r="N34" s="46"/>
      <c r="O34" s="17" t="e">
        <f>M34/30*N34</f>
        <v>#VALUE!</v>
      </c>
      <c r="P34" s="17"/>
      <c r="Q34" s="47" t="e">
        <f>M34-O34-P34</f>
        <v>#VALUE!</v>
      </c>
      <c r="R34" s="48">
        <v>30</v>
      </c>
      <c r="S34" s="48" t="s">
        <v>22</v>
      </c>
      <c r="T34" s="27"/>
      <c r="U34" s="28"/>
      <c r="V34" s="86" t="s">
        <v>32</v>
      </c>
      <c r="W34" s="212" t="s">
        <v>42</v>
      </c>
      <c r="X34" s="29"/>
      <c r="Y34" s="68">
        <v>6000</v>
      </c>
      <c r="Z34" s="68"/>
      <c r="AA34" s="68">
        <v>10000</v>
      </c>
      <c r="AB34" s="28"/>
      <c r="AC34" s="30"/>
      <c r="AD34" s="21"/>
      <c r="AE34" s="31">
        <f t="shared" si="0"/>
        <v>0</v>
      </c>
      <c r="AF34" s="28"/>
    </row>
    <row r="35" spans="3:37" s="32" customFormat="1" ht="15.75" x14ac:dyDescent="0.25">
      <c r="C35" s="13" t="s">
        <v>235</v>
      </c>
      <c r="D35" s="92" t="s">
        <v>85</v>
      </c>
      <c r="E35" s="86" t="s">
        <v>34</v>
      </c>
      <c r="F35" s="43" t="s">
        <v>32</v>
      </c>
      <c r="G35" s="43">
        <v>10000</v>
      </c>
      <c r="H35" s="43">
        <f>G35*60%</f>
        <v>6000</v>
      </c>
      <c r="I35" s="43">
        <f>G35*30%</f>
        <v>3000</v>
      </c>
      <c r="J35" s="43">
        <f>G35*5%</f>
        <v>500</v>
      </c>
      <c r="K35" s="43">
        <f>G35*5%</f>
        <v>500</v>
      </c>
      <c r="L35" s="44">
        <v>10000</v>
      </c>
      <c r="M35" s="45" t="s">
        <v>22</v>
      </c>
      <c r="N35" s="46"/>
      <c r="O35" s="17" t="e">
        <f>M35/30*N35</f>
        <v>#VALUE!</v>
      </c>
      <c r="P35" s="17"/>
      <c r="Q35" s="47" t="e">
        <f>M35-O35-P35</f>
        <v>#VALUE!</v>
      </c>
      <c r="R35" s="48">
        <v>30</v>
      </c>
      <c r="S35" s="48" t="s">
        <v>22</v>
      </c>
      <c r="T35" s="27"/>
      <c r="U35" s="28"/>
      <c r="V35" s="49" t="s">
        <v>32</v>
      </c>
      <c r="W35" s="212" t="s">
        <v>42</v>
      </c>
      <c r="X35" s="29"/>
      <c r="Y35" s="68">
        <f>L35*60%</f>
        <v>6000</v>
      </c>
      <c r="Z35" s="68"/>
      <c r="AA35" s="68">
        <v>10000</v>
      </c>
      <c r="AB35" s="28"/>
      <c r="AC35" s="30"/>
      <c r="AD35" s="21"/>
      <c r="AE35" s="31">
        <f t="shared" si="0"/>
        <v>0</v>
      </c>
      <c r="AF35" s="28"/>
    </row>
    <row r="36" spans="3:37" s="32" customFormat="1" ht="30" x14ac:dyDescent="0.25">
      <c r="C36" s="13" t="s">
        <v>241</v>
      </c>
      <c r="D36" s="92" t="s">
        <v>795</v>
      </c>
      <c r="E36" s="86" t="s">
        <v>796</v>
      </c>
      <c r="F36" s="239"/>
      <c r="G36" s="239"/>
      <c r="H36" s="239"/>
      <c r="I36" s="239"/>
      <c r="J36" s="239"/>
      <c r="K36" s="239"/>
      <c r="L36" s="240"/>
      <c r="M36" s="241"/>
      <c r="N36" s="60"/>
      <c r="O36" s="61"/>
      <c r="P36" s="61"/>
      <c r="Q36" s="62"/>
      <c r="R36" s="63"/>
      <c r="S36" s="63"/>
      <c r="T36" s="64"/>
      <c r="U36" s="65"/>
      <c r="V36" s="86" t="s">
        <v>32</v>
      </c>
      <c r="W36" s="212" t="s">
        <v>42</v>
      </c>
      <c r="X36" s="29"/>
      <c r="Y36" s="68">
        <v>7200</v>
      </c>
      <c r="Z36" s="68"/>
      <c r="AA36" s="68"/>
      <c r="AB36" s="28"/>
      <c r="AC36" s="30"/>
      <c r="AD36" s="21"/>
      <c r="AE36" s="31">
        <f t="shared" si="0"/>
        <v>0</v>
      </c>
      <c r="AF36" s="28"/>
    </row>
    <row r="37" spans="3:37" s="32" customFormat="1" ht="15.75" x14ac:dyDescent="0.25">
      <c r="C37" s="13" t="s">
        <v>247</v>
      </c>
      <c r="D37" s="92" t="s">
        <v>822</v>
      </c>
      <c r="E37" s="86" t="s">
        <v>34</v>
      </c>
      <c r="F37" s="239"/>
      <c r="G37" s="239"/>
      <c r="H37" s="239"/>
      <c r="I37" s="239"/>
      <c r="J37" s="239"/>
      <c r="K37" s="239"/>
      <c r="L37" s="240"/>
      <c r="M37" s="241"/>
      <c r="N37" s="60"/>
      <c r="O37" s="61"/>
      <c r="P37" s="61"/>
      <c r="Q37" s="62"/>
      <c r="R37" s="63"/>
      <c r="S37" s="63"/>
      <c r="T37" s="64"/>
      <c r="U37" s="65"/>
      <c r="V37" s="86" t="s">
        <v>32</v>
      </c>
      <c r="W37" s="212" t="s">
        <v>42</v>
      </c>
      <c r="X37" s="29"/>
      <c r="Y37" s="68">
        <v>6000</v>
      </c>
      <c r="Z37" s="68"/>
      <c r="AA37" s="68"/>
      <c r="AB37" s="28"/>
      <c r="AC37" s="30"/>
      <c r="AD37" s="21"/>
      <c r="AE37" s="31">
        <f t="shared" si="0"/>
        <v>0</v>
      </c>
      <c r="AF37" s="28"/>
    </row>
    <row r="38" spans="3:37" s="32" customFormat="1" ht="15.75" x14ac:dyDescent="0.25">
      <c r="C38" s="13" t="s">
        <v>253</v>
      </c>
      <c r="D38" s="92" t="s">
        <v>825</v>
      </c>
      <c r="E38" s="86" t="s">
        <v>34</v>
      </c>
      <c r="F38" s="239"/>
      <c r="G38" s="239"/>
      <c r="H38" s="239"/>
      <c r="I38" s="239"/>
      <c r="J38" s="239"/>
      <c r="K38" s="239"/>
      <c r="L38" s="240"/>
      <c r="M38" s="241"/>
      <c r="N38" s="60"/>
      <c r="O38" s="61"/>
      <c r="P38" s="61"/>
      <c r="Q38" s="62"/>
      <c r="R38" s="63"/>
      <c r="S38" s="63"/>
      <c r="T38" s="64"/>
      <c r="U38" s="65"/>
      <c r="V38" s="86" t="s">
        <v>32</v>
      </c>
      <c r="W38" s="212" t="s">
        <v>42</v>
      </c>
      <c r="X38" s="29"/>
      <c r="Y38" s="68">
        <v>6000</v>
      </c>
      <c r="Z38" s="68"/>
      <c r="AA38" s="68"/>
      <c r="AB38" s="28"/>
      <c r="AC38" s="30"/>
      <c r="AD38" s="21"/>
      <c r="AE38" s="31">
        <f t="shared" si="0"/>
        <v>0</v>
      </c>
      <c r="AF38" s="28"/>
    </row>
    <row r="39" spans="3:37" s="32" customFormat="1" ht="15.75" x14ac:dyDescent="0.25">
      <c r="C39" s="13" t="s">
        <v>260</v>
      </c>
      <c r="D39" s="92" t="s">
        <v>828</v>
      </c>
      <c r="E39" s="86" t="s">
        <v>34</v>
      </c>
      <c r="F39" s="239"/>
      <c r="G39" s="239"/>
      <c r="H39" s="239"/>
      <c r="I39" s="239"/>
      <c r="J39" s="239"/>
      <c r="K39" s="239"/>
      <c r="L39" s="240"/>
      <c r="M39" s="241"/>
      <c r="N39" s="60"/>
      <c r="O39" s="61"/>
      <c r="P39" s="61"/>
      <c r="Q39" s="62"/>
      <c r="R39" s="63"/>
      <c r="S39" s="63"/>
      <c r="T39" s="64"/>
      <c r="U39" s="65"/>
      <c r="V39" s="86" t="s">
        <v>32</v>
      </c>
      <c r="W39" s="212" t="s">
        <v>42</v>
      </c>
      <c r="X39" s="29"/>
      <c r="Y39" s="68">
        <v>6000</v>
      </c>
      <c r="Z39" s="68"/>
      <c r="AA39" s="68"/>
      <c r="AB39" s="28"/>
      <c r="AC39" s="30"/>
      <c r="AD39" s="21"/>
      <c r="AE39" s="31">
        <f t="shared" si="0"/>
        <v>0</v>
      </c>
      <c r="AF39" s="28"/>
    </row>
    <row r="40" spans="3:37" s="32" customFormat="1" ht="15.75" x14ac:dyDescent="0.25">
      <c r="C40" s="13" t="s">
        <v>267</v>
      </c>
      <c r="D40" s="92" t="s">
        <v>856</v>
      </c>
      <c r="E40" s="86" t="s">
        <v>37</v>
      </c>
      <c r="F40" s="239"/>
      <c r="G40" s="239"/>
      <c r="H40" s="239"/>
      <c r="I40" s="239"/>
      <c r="J40" s="239"/>
      <c r="K40" s="239"/>
      <c r="L40" s="240"/>
      <c r="M40" s="241"/>
      <c r="N40" s="60"/>
      <c r="O40" s="61"/>
      <c r="P40" s="61"/>
      <c r="Q40" s="62"/>
      <c r="R40" s="63"/>
      <c r="S40" s="63"/>
      <c r="T40" s="64"/>
      <c r="U40" s="65"/>
      <c r="V40" s="86" t="s">
        <v>32</v>
      </c>
      <c r="W40" s="212" t="s">
        <v>42</v>
      </c>
      <c r="X40" s="29"/>
      <c r="Y40" s="68">
        <v>5400</v>
      </c>
      <c r="Z40" s="68"/>
      <c r="AA40" s="68"/>
      <c r="AB40" s="28"/>
      <c r="AC40" s="30"/>
      <c r="AD40" s="21"/>
      <c r="AE40" s="31">
        <f t="shared" si="0"/>
        <v>0</v>
      </c>
      <c r="AF40" s="28"/>
    </row>
    <row r="41" spans="3:37" s="32" customFormat="1" ht="15.75" x14ac:dyDescent="0.25">
      <c r="C41" s="50"/>
      <c r="D41" s="51"/>
      <c r="E41" s="52"/>
      <c r="F41" s="53"/>
      <c r="G41" s="54"/>
      <c r="H41" s="55"/>
      <c r="I41" s="56"/>
      <c r="J41" s="56"/>
      <c r="K41" s="57"/>
      <c r="L41" s="58"/>
      <c r="M41" s="59"/>
      <c r="N41" s="60"/>
      <c r="O41" s="61"/>
      <c r="P41" s="61"/>
      <c r="Q41" s="62"/>
      <c r="R41" s="63"/>
      <c r="S41" s="63"/>
      <c r="T41" s="64"/>
      <c r="U41" s="65"/>
      <c r="V41" s="65"/>
      <c r="W41" s="212"/>
      <c r="X41" s="29"/>
      <c r="Y41" s="28"/>
      <c r="Z41" s="28"/>
      <c r="AA41" s="28"/>
      <c r="AB41" s="28"/>
      <c r="AC41" s="28"/>
      <c r="AD41" s="28"/>
      <c r="AE41" s="31">
        <f t="shared" si="0"/>
        <v>0</v>
      </c>
      <c r="AF41" s="28"/>
    </row>
    <row r="42" spans="3:37" ht="15.75" x14ac:dyDescent="0.25">
      <c r="C42" s="13"/>
      <c r="D42" s="66" t="s">
        <v>39</v>
      </c>
      <c r="E42" s="33"/>
      <c r="F42" s="22"/>
      <c r="G42" s="16"/>
      <c r="H42" s="17"/>
      <c r="I42" s="17"/>
      <c r="J42" s="25"/>
      <c r="K42" s="18"/>
      <c r="L42" s="19"/>
      <c r="M42" s="19"/>
      <c r="N42" s="20"/>
      <c r="O42" s="20"/>
      <c r="P42" s="20"/>
      <c r="Q42" s="20"/>
      <c r="R42" s="17"/>
      <c r="S42" s="21"/>
      <c r="T42" s="34"/>
      <c r="U42" s="35"/>
      <c r="V42" s="35"/>
      <c r="W42" s="45"/>
      <c r="X42" s="23"/>
      <c r="Y42" s="22"/>
      <c r="Z42" s="22"/>
      <c r="AA42" s="22"/>
      <c r="AB42" s="22"/>
      <c r="AC42" s="22"/>
      <c r="AD42" s="22"/>
      <c r="AE42" s="31">
        <f t="shared" si="0"/>
        <v>0</v>
      </c>
      <c r="AF42" s="22"/>
    </row>
    <row r="43" spans="3:37" ht="15.75" x14ac:dyDescent="0.25">
      <c r="C43" s="13" t="s">
        <v>274</v>
      </c>
      <c r="D43" s="92" t="s">
        <v>861</v>
      </c>
      <c r="E43" s="86" t="s">
        <v>862</v>
      </c>
      <c r="F43" s="22"/>
      <c r="G43" s="16"/>
      <c r="H43" s="17"/>
      <c r="I43" s="17"/>
      <c r="J43" s="25"/>
      <c r="K43" s="18"/>
      <c r="L43" s="19"/>
      <c r="M43" s="19"/>
      <c r="N43" s="20"/>
      <c r="O43" s="20"/>
      <c r="P43" s="20"/>
      <c r="Q43" s="20"/>
      <c r="R43" s="17"/>
      <c r="S43" s="21"/>
      <c r="T43" s="34"/>
      <c r="U43" s="35"/>
      <c r="V43" s="86" t="s">
        <v>67</v>
      </c>
      <c r="W43" s="45" t="s">
        <v>93</v>
      </c>
      <c r="X43" s="23"/>
      <c r="Y43" s="68">
        <v>29417</v>
      </c>
      <c r="Z43" s="68">
        <f>Y43*14</f>
        <v>411838</v>
      </c>
      <c r="AA43" s="22"/>
      <c r="AB43" s="22">
        <v>60</v>
      </c>
      <c r="AC43" s="22">
        <f>Y43/30*60</f>
        <v>58834</v>
      </c>
      <c r="AD43" s="22">
        <v>9000</v>
      </c>
      <c r="AE43" s="31">
        <f t="shared" si="0"/>
        <v>479672</v>
      </c>
      <c r="AF43" s="22"/>
    </row>
    <row r="44" spans="3:37" ht="15.75" x14ac:dyDescent="0.25">
      <c r="C44" s="13" t="s">
        <v>280</v>
      </c>
      <c r="D44" s="94" t="s">
        <v>86</v>
      </c>
      <c r="E44" s="86" t="s">
        <v>87</v>
      </c>
      <c r="F44" s="14" t="s">
        <v>41</v>
      </c>
      <c r="G44" s="16">
        <v>12000</v>
      </c>
      <c r="H44" s="17">
        <v>6000</v>
      </c>
      <c r="I44" s="17">
        <v>1000</v>
      </c>
      <c r="J44" s="25">
        <v>1000</v>
      </c>
      <c r="K44" s="18"/>
      <c r="L44" s="19">
        <f>SUM(G44:K44)</f>
        <v>20000</v>
      </c>
      <c r="M44" s="19" t="s">
        <v>22</v>
      </c>
      <c r="N44" s="20"/>
      <c r="O44" s="20"/>
      <c r="P44" s="20"/>
      <c r="Q44" s="20"/>
      <c r="R44" s="17"/>
      <c r="S44" s="21">
        <f>L44+N44+O44-R44</f>
        <v>20000</v>
      </c>
      <c r="T44" s="22">
        <v>31</v>
      </c>
      <c r="U44" s="22"/>
      <c r="V44" s="86" t="s">
        <v>88</v>
      </c>
      <c r="W44" s="45" t="s">
        <v>99</v>
      </c>
      <c r="X44" s="23"/>
      <c r="Y44" s="95">
        <v>14144</v>
      </c>
      <c r="Z44" s="30">
        <f>Y44*4</f>
        <v>56576</v>
      </c>
      <c r="AA44" s="68">
        <v>23123.5</v>
      </c>
      <c r="AB44" s="22">
        <v>17</v>
      </c>
      <c r="AC44" s="21">
        <f>Y44/30*17</f>
        <v>8014.9333333333325</v>
      </c>
      <c r="AD44" s="21"/>
      <c r="AE44" s="31">
        <f t="shared" si="0"/>
        <v>64590.933333333334</v>
      </c>
      <c r="AF44" s="22"/>
    </row>
    <row r="45" spans="3:37" ht="15.75" x14ac:dyDescent="0.25">
      <c r="C45" s="13"/>
      <c r="D45" s="242"/>
      <c r="E45" s="86"/>
      <c r="F45" s="14"/>
      <c r="G45" s="16"/>
      <c r="H45" s="17"/>
      <c r="I45" s="17"/>
      <c r="J45" s="25"/>
      <c r="K45" s="18"/>
      <c r="L45" s="19"/>
      <c r="M45" s="19"/>
      <c r="N45" s="20"/>
      <c r="O45" s="20"/>
      <c r="P45" s="20"/>
      <c r="Q45" s="20"/>
      <c r="R45" s="17"/>
      <c r="S45" s="21"/>
      <c r="T45" s="22"/>
      <c r="U45" s="22"/>
      <c r="V45" s="86"/>
      <c r="W45" s="45"/>
      <c r="X45" s="23"/>
      <c r="Y45" s="95"/>
      <c r="Z45" s="30"/>
      <c r="AA45" s="68"/>
      <c r="AB45" s="22"/>
      <c r="AC45" s="21"/>
      <c r="AD45" s="21"/>
      <c r="AE45" s="31"/>
      <c r="AF45" s="22"/>
    </row>
    <row r="46" spans="3:37" ht="16.5" thickBot="1" x14ac:dyDescent="0.3">
      <c r="C46" s="13"/>
      <c r="D46" s="245" t="s">
        <v>345</v>
      </c>
      <c r="E46" s="86"/>
      <c r="F46" s="14"/>
      <c r="G46" s="16"/>
      <c r="H46" s="17"/>
      <c r="I46" s="17"/>
      <c r="J46" s="25"/>
      <c r="K46" s="18"/>
      <c r="L46" s="19"/>
      <c r="M46" s="19"/>
      <c r="N46" s="20"/>
      <c r="O46" s="20"/>
      <c r="P46" s="20"/>
      <c r="Q46" s="20"/>
      <c r="R46" s="17"/>
      <c r="S46" s="21"/>
      <c r="T46" s="22"/>
      <c r="U46" s="22"/>
      <c r="V46" s="86"/>
      <c r="W46" s="45"/>
      <c r="X46" s="23"/>
      <c r="Y46" s="95"/>
      <c r="Z46" s="30"/>
      <c r="AA46" s="68"/>
      <c r="AB46" s="22"/>
      <c r="AC46" s="21"/>
      <c r="AD46" s="21"/>
      <c r="AE46" s="31"/>
      <c r="AF46" s="22"/>
    </row>
    <row r="47" spans="3:37" ht="30" x14ac:dyDescent="0.25">
      <c r="C47" s="13"/>
      <c r="D47" s="243" t="s">
        <v>347</v>
      </c>
      <c r="E47" s="244" t="s">
        <v>348</v>
      </c>
      <c r="F47" s="14"/>
      <c r="G47" s="16"/>
      <c r="H47" s="17"/>
      <c r="I47" s="17"/>
      <c r="J47" s="25"/>
      <c r="K47" s="18"/>
      <c r="L47" s="41"/>
      <c r="M47" s="19"/>
      <c r="N47" s="20"/>
      <c r="O47" s="20"/>
      <c r="P47" s="20"/>
      <c r="Q47" s="20"/>
      <c r="R47" s="17">
        <f>L47/30*P47</f>
        <v>0</v>
      </c>
      <c r="S47" s="21"/>
      <c r="T47" s="22"/>
      <c r="U47" s="22"/>
      <c r="V47" s="246" t="s">
        <v>352</v>
      </c>
      <c r="W47" s="45" t="s">
        <v>1095</v>
      </c>
      <c r="X47" s="23"/>
      <c r="Y47" s="68">
        <v>15749</v>
      </c>
      <c r="Z47" s="30">
        <f>Y47*9</f>
        <v>141741</v>
      </c>
      <c r="AA47" s="22"/>
      <c r="AB47" s="22">
        <v>60</v>
      </c>
      <c r="AC47" s="21">
        <f>Y47/30*60</f>
        <v>31498</v>
      </c>
      <c r="AD47" s="30"/>
      <c r="AE47" s="31">
        <f t="shared" si="0"/>
        <v>173239</v>
      </c>
      <c r="AF47" s="22"/>
    </row>
    <row r="48" spans="3:37" ht="9" customHeight="1" x14ac:dyDescent="0.25">
      <c r="C48" s="13"/>
      <c r="D48" s="67"/>
      <c r="E48" s="14"/>
      <c r="F48" s="14"/>
      <c r="G48" s="16"/>
      <c r="H48" s="17"/>
      <c r="I48" s="17"/>
      <c r="J48" s="25"/>
      <c r="K48" s="18"/>
      <c r="L48" s="41"/>
      <c r="M48" s="19"/>
      <c r="N48" s="20"/>
      <c r="O48" s="20"/>
      <c r="P48" s="20"/>
      <c r="Q48" s="20"/>
      <c r="R48" s="17"/>
      <c r="S48" s="21"/>
      <c r="T48" s="22"/>
      <c r="U48" s="22"/>
      <c r="V48" s="22"/>
      <c r="W48" s="45"/>
      <c r="X48" s="23"/>
      <c r="Y48" s="68"/>
      <c r="Z48" s="30"/>
      <c r="AA48" s="22"/>
      <c r="AB48" s="22"/>
      <c r="AC48" s="30"/>
      <c r="AD48" s="30"/>
      <c r="AE48" s="30"/>
      <c r="AF48" s="22"/>
      <c r="AK48" s="69">
        <v>4066.2</v>
      </c>
    </row>
    <row r="49" spans="3:33" s="12" customFormat="1" ht="15.75" x14ac:dyDescent="0.25">
      <c r="C49" s="223"/>
      <c r="D49" s="224" t="s">
        <v>48</v>
      </c>
      <c r="E49" s="225"/>
      <c r="F49" s="225"/>
      <c r="G49" s="225"/>
      <c r="H49" s="226"/>
      <c r="I49" s="226"/>
      <c r="J49" s="226"/>
      <c r="K49" s="225"/>
      <c r="L49" s="227">
        <f>SUM(L4:L48)</f>
        <v>69153.5</v>
      </c>
      <c r="M49" s="228"/>
      <c r="N49" s="226"/>
      <c r="O49" s="229"/>
      <c r="P49" s="226"/>
      <c r="Q49" s="226"/>
      <c r="R49" s="229"/>
      <c r="S49" s="225"/>
      <c r="T49" s="225"/>
      <c r="U49" s="225"/>
      <c r="V49" s="225"/>
      <c r="W49" s="216"/>
      <c r="X49" s="224"/>
      <c r="Y49" s="226">
        <f>SUM(Y5:Y47)</f>
        <v>309175</v>
      </c>
      <c r="Z49" s="230">
        <f>SUM(Z4:Z48)</f>
        <v>3222446</v>
      </c>
      <c r="AA49" s="226">
        <f>SUM(AA5:AA47)</f>
        <v>206589.54452749999</v>
      </c>
      <c r="AB49" s="225"/>
      <c r="AC49" s="230">
        <f>SUM(AC4:AC48)</f>
        <v>419212.63333333336</v>
      </c>
      <c r="AD49" s="230">
        <f>SUM(AD4:AD48)</f>
        <v>38900</v>
      </c>
      <c r="AE49" s="230">
        <f>SUM(AE4:AE48)</f>
        <v>3680558.6333333328</v>
      </c>
      <c r="AF49" s="225"/>
    </row>
    <row r="50" spans="3:33" ht="15.75" x14ac:dyDescent="0.25">
      <c r="AG50" s="83"/>
    </row>
    <row r="51" spans="3:33" ht="15.75" x14ac:dyDescent="0.25">
      <c r="AG51" s="83"/>
    </row>
    <row r="52" spans="3:33" ht="15.75" x14ac:dyDescent="0.25">
      <c r="AG52" s="83"/>
    </row>
    <row r="53" spans="3:33" ht="15.75" x14ac:dyDescent="0.25">
      <c r="AG53" s="83"/>
    </row>
    <row r="54" spans="3:33" ht="15.75" x14ac:dyDescent="0.25">
      <c r="AG54" s="83"/>
    </row>
    <row r="55" spans="3:33" ht="15.75" x14ac:dyDescent="0.25">
      <c r="AG55" s="83"/>
    </row>
    <row r="56" spans="3:33" ht="15.75" x14ac:dyDescent="0.25">
      <c r="AG56" s="83"/>
    </row>
    <row r="57" spans="3:33" ht="15.75" x14ac:dyDescent="0.25">
      <c r="AG57" s="83"/>
    </row>
    <row r="58" spans="3:33" ht="15.75" x14ac:dyDescent="0.25">
      <c r="AG58" s="83"/>
    </row>
    <row r="59" spans="3:33" ht="15.75" x14ac:dyDescent="0.25">
      <c r="AG59" s="83"/>
    </row>
    <row r="60" spans="3:33" ht="15.75" x14ac:dyDescent="0.25">
      <c r="AG60" s="83"/>
    </row>
    <row r="61" spans="3:33" ht="15.75" x14ac:dyDescent="0.25">
      <c r="AG61" s="83"/>
    </row>
    <row r="62" spans="3:33" ht="15.75" x14ac:dyDescent="0.25">
      <c r="AG62" s="83"/>
    </row>
    <row r="63" spans="3:33" ht="15.75" x14ac:dyDescent="0.25">
      <c r="AG63" s="83"/>
    </row>
    <row r="64" spans="3:33" ht="15.75" x14ac:dyDescent="0.25">
      <c r="AG64" s="83"/>
    </row>
    <row r="65" spans="3:33" ht="15.75" x14ac:dyDescent="0.25">
      <c r="AG65" s="83"/>
    </row>
    <row r="66" spans="3:33" ht="15.75" x14ac:dyDescent="0.25">
      <c r="AG66" s="83"/>
    </row>
    <row r="67" spans="3:33" ht="15.75" x14ac:dyDescent="0.25">
      <c r="AG67" s="83"/>
    </row>
    <row r="68" spans="3:33" ht="15.75" x14ac:dyDescent="0.25">
      <c r="AG68" s="83"/>
    </row>
    <row r="69" spans="3:33" ht="18.75" x14ac:dyDescent="0.3">
      <c r="C69" s="304" t="s">
        <v>0</v>
      </c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</row>
    <row r="70" spans="3:33" ht="18.75" x14ac:dyDescent="0.3">
      <c r="C70" s="305" t="s">
        <v>1</v>
      </c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G70" s="83"/>
    </row>
    <row r="71" spans="3:33" ht="63" x14ac:dyDescent="0.25">
      <c r="C71" s="2" t="s">
        <v>2</v>
      </c>
      <c r="D71" s="3" t="s">
        <v>3</v>
      </c>
      <c r="E71" s="4" t="s">
        <v>4</v>
      </c>
      <c r="F71" s="5" t="s">
        <v>5</v>
      </c>
      <c r="G71" s="6"/>
      <c r="H71" s="6"/>
      <c r="I71" s="6"/>
      <c r="J71" s="6"/>
      <c r="K71" s="6"/>
      <c r="L71" s="7" t="s">
        <v>6</v>
      </c>
      <c r="M71" s="7" t="s">
        <v>7</v>
      </c>
      <c r="N71" s="8"/>
      <c r="O71" s="8"/>
      <c r="P71" s="306" t="s">
        <v>8</v>
      </c>
      <c r="Q71" s="306"/>
      <c r="R71" s="306"/>
      <c r="S71" s="5" t="s">
        <v>9</v>
      </c>
      <c r="T71" s="5" t="s">
        <v>10</v>
      </c>
      <c r="U71" s="5"/>
      <c r="V71" s="5" t="s">
        <v>11</v>
      </c>
      <c r="W71" s="5" t="s">
        <v>12</v>
      </c>
      <c r="X71" s="10" t="s">
        <v>13</v>
      </c>
      <c r="Y71" s="84" t="s">
        <v>14</v>
      </c>
      <c r="Z71" s="84" t="s">
        <v>15</v>
      </c>
      <c r="AA71" s="9" t="s">
        <v>16</v>
      </c>
      <c r="AB71" s="306" t="s">
        <v>17</v>
      </c>
      <c r="AC71" s="306"/>
      <c r="AD71" s="9" t="s">
        <v>18</v>
      </c>
      <c r="AE71" s="11" t="s">
        <v>19</v>
      </c>
      <c r="AG71" s="83"/>
    </row>
    <row r="72" spans="3:33" ht="15.75" x14ac:dyDescent="0.25">
      <c r="C72" s="13" t="s">
        <v>20</v>
      </c>
      <c r="D72" s="85" t="s">
        <v>49</v>
      </c>
      <c r="E72" s="85" t="s">
        <v>37</v>
      </c>
      <c r="F72" s="24" t="s">
        <v>21</v>
      </c>
      <c r="G72" s="16">
        <v>10800</v>
      </c>
      <c r="H72" s="17">
        <v>5400</v>
      </c>
      <c r="I72" s="17">
        <v>900</v>
      </c>
      <c r="J72" s="25">
        <v>900</v>
      </c>
      <c r="K72" s="26"/>
      <c r="L72" s="19">
        <v>17809</v>
      </c>
      <c r="M72" s="19" t="s">
        <v>22</v>
      </c>
      <c r="N72" s="18"/>
      <c r="O72" s="20"/>
      <c r="P72" s="20"/>
      <c r="Q72" s="20"/>
      <c r="R72" s="17">
        <f>L72/30*P72</f>
        <v>0</v>
      </c>
      <c r="S72" s="21">
        <f>L72+N72+O72-R72</f>
        <v>17809</v>
      </c>
      <c r="T72" s="27">
        <v>31</v>
      </c>
      <c r="U72" s="28"/>
      <c r="V72" s="86" t="s">
        <v>50</v>
      </c>
      <c r="W72" s="212" t="s">
        <v>51</v>
      </c>
      <c r="X72" s="29"/>
      <c r="Y72" s="87">
        <v>10893</v>
      </c>
      <c r="Z72" s="87">
        <f>Y72*16</f>
        <v>174288</v>
      </c>
      <c r="AA72" s="28">
        <v>1.3</v>
      </c>
      <c r="AB72" s="28">
        <v>7</v>
      </c>
      <c r="AC72" s="30">
        <f>Y72/30*60</f>
        <v>21786</v>
      </c>
      <c r="AD72" s="21">
        <v>2200</v>
      </c>
      <c r="AE72" s="31">
        <f>AD72+AC72+Z72</f>
        <v>198274</v>
      </c>
    </row>
    <row r="73" spans="3:33" ht="15.75" x14ac:dyDescent="0.25">
      <c r="C73" s="13" t="s">
        <v>23</v>
      </c>
      <c r="D73" s="88" t="s">
        <v>52</v>
      </c>
      <c r="E73" s="88" t="s">
        <v>53</v>
      </c>
      <c r="F73" s="24"/>
      <c r="G73" s="16"/>
      <c r="H73" s="17"/>
      <c r="I73" s="17"/>
      <c r="J73" s="25"/>
      <c r="K73" s="26"/>
      <c r="L73" s="19">
        <v>9687</v>
      </c>
      <c r="M73" s="19"/>
      <c r="N73" s="18"/>
      <c r="O73" s="20"/>
      <c r="P73" s="20"/>
      <c r="Q73" s="20"/>
      <c r="R73" s="17"/>
      <c r="S73" s="21"/>
      <c r="T73" s="27"/>
      <c r="U73" s="28"/>
      <c r="V73" s="86" t="s">
        <v>54</v>
      </c>
      <c r="W73" s="212" t="s">
        <v>55</v>
      </c>
      <c r="X73" s="29"/>
      <c r="Y73" s="87">
        <v>5925</v>
      </c>
      <c r="Z73" s="87">
        <f>Y73*3</f>
        <v>17775</v>
      </c>
      <c r="AA73" s="28"/>
      <c r="AB73" s="28"/>
      <c r="AC73" s="31">
        <f>Y73/30*23</f>
        <v>4542.5</v>
      </c>
      <c r="AD73" s="28">
        <v>0</v>
      </c>
      <c r="AE73" s="31">
        <f t="shared" ref="AE73:AE75" si="1">AD73+AC73+Z73</f>
        <v>22317.5</v>
      </c>
    </row>
    <row r="74" spans="3:33" ht="15.75" x14ac:dyDescent="0.25">
      <c r="C74" s="13" t="s">
        <v>26</v>
      </c>
      <c r="D74" s="36" t="s">
        <v>56</v>
      </c>
      <c r="E74" s="14" t="s">
        <v>57</v>
      </c>
      <c r="F74" s="14" t="s">
        <v>24</v>
      </c>
      <c r="G74" s="16">
        <v>7386.75</v>
      </c>
      <c r="H74" s="17">
        <v>3517.5</v>
      </c>
      <c r="I74" s="17">
        <v>586.25</v>
      </c>
      <c r="J74" s="25">
        <v>586.25</v>
      </c>
      <c r="K74" s="18"/>
      <c r="L74" s="19">
        <v>17432</v>
      </c>
      <c r="M74" s="19" t="s">
        <v>22</v>
      </c>
      <c r="N74" s="20">
        <v>0</v>
      </c>
      <c r="O74" s="20"/>
      <c r="P74" s="20"/>
      <c r="Q74" s="20"/>
      <c r="R74" s="17"/>
      <c r="S74" s="21">
        <f>L74+N74+O74-R74</f>
        <v>17432</v>
      </c>
      <c r="T74" s="22">
        <v>31</v>
      </c>
      <c r="U74" s="22"/>
      <c r="V74" s="86" t="s">
        <v>58</v>
      </c>
      <c r="W74" s="45" t="s">
        <v>59</v>
      </c>
      <c r="X74" s="23"/>
      <c r="Y74" s="87">
        <v>10662</v>
      </c>
      <c r="Z74" s="30">
        <f>Y74*13</f>
        <v>138606</v>
      </c>
      <c r="AA74" s="37">
        <v>4.9000000000000004</v>
      </c>
      <c r="AB74" s="22">
        <v>26</v>
      </c>
      <c r="AC74" s="30">
        <f>Y74/30*60</f>
        <v>21324</v>
      </c>
      <c r="AD74" s="21">
        <v>3300</v>
      </c>
      <c r="AE74" s="31">
        <f t="shared" si="1"/>
        <v>163230</v>
      </c>
    </row>
    <row r="75" spans="3:33" ht="15.75" x14ac:dyDescent="0.25">
      <c r="C75" s="13" t="s">
        <v>29</v>
      </c>
      <c r="D75" s="14" t="s">
        <v>60</v>
      </c>
      <c r="E75" s="14" t="s">
        <v>57</v>
      </c>
      <c r="F75" s="15"/>
      <c r="G75" s="16"/>
      <c r="H75" s="17"/>
      <c r="I75" s="17"/>
      <c r="J75" s="25"/>
      <c r="K75" s="18"/>
      <c r="L75" s="19">
        <v>19287</v>
      </c>
      <c r="M75" s="19"/>
      <c r="N75" s="20"/>
      <c r="O75" s="20"/>
      <c r="P75" s="20"/>
      <c r="Q75" s="20"/>
      <c r="R75" s="17"/>
      <c r="S75" s="21"/>
      <c r="T75" s="22"/>
      <c r="U75" s="22"/>
      <c r="V75" s="86" t="s">
        <v>61</v>
      </c>
      <c r="W75" s="45" t="s">
        <v>62</v>
      </c>
      <c r="X75" s="23"/>
      <c r="Y75" s="87">
        <v>11797</v>
      </c>
      <c r="Z75" s="30">
        <f>Y75*15</f>
        <v>176955</v>
      </c>
      <c r="AA75" s="22"/>
      <c r="AB75" s="22"/>
      <c r="AC75" s="30">
        <f>Y75/30*60</f>
        <v>23594</v>
      </c>
      <c r="AD75" s="22">
        <v>3900</v>
      </c>
      <c r="AE75" s="31">
        <f t="shared" si="1"/>
        <v>204449</v>
      </c>
    </row>
    <row r="76" spans="3:33" ht="15.75" x14ac:dyDescent="0.25">
      <c r="C76" s="70"/>
      <c r="D76" s="71" t="s">
        <v>48</v>
      </c>
      <c r="E76" s="72"/>
      <c r="F76" s="72"/>
      <c r="G76" s="72"/>
      <c r="H76" s="73"/>
      <c r="I76" s="73"/>
      <c r="J76" s="73"/>
      <c r="K76" s="72"/>
      <c r="L76" s="74">
        <f>SUM(L72:L75)</f>
        <v>64215</v>
      </c>
      <c r="M76" s="41"/>
      <c r="N76" s="73"/>
      <c r="O76" s="75"/>
      <c r="P76" s="73"/>
      <c r="Q76" s="73"/>
      <c r="R76" s="75"/>
      <c r="S76" s="72"/>
      <c r="T76" s="72"/>
      <c r="U76" s="72"/>
      <c r="V76" s="72"/>
      <c r="W76" s="211"/>
      <c r="X76" s="71"/>
      <c r="Y76" s="76"/>
      <c r="Z76" s="77">
        <f>SUM(Z72:Z75)</f>
        <v>507624</v>
      </c>
      <c r="AA76" s="77"/>
      <c r="AB76" s="76"/>
      <c r="AC76" s="77">
        <f>SUM(AC72:AC75)</f>
        <v>71246.5</v>
      </c>
      <c r="AD76" s="77">
        <f>SUM(AD72:AD75)</f>
        <v>9400</v>
      </c>
      <c r="AE76" s="89">
        <f>SUM(AE72:AE75)</f>
        <v>588270.5</v>
      </c>
    </row>
    <row r="77" spans="3:33" ht="15.75" x14ac:dyDescent="0.25">
      <c r="AG77" s="83"/>
    </row>
    <row r="80" spans="3:33" ht="15.75" x14ac:dyDescent="0.25">
      <c r="Z80" s="83"/>
      <c r="AC80" s="81"/>
      <c r="AD80" s="83"/>
    </row>
    <row r="82" spans="33:36" ht="15.75" x14ac:dyDescent="0.25">
      <c r="AG82" s="1">
        <f>15*14</f>
        <v>210</v>
      </c>
      <c r="AH82" s="1">
        <f>14*3</f>
        <v>42</v>
      </c>
      <c r="AI82" s="1">
        <f>14*13</f>
        <v>182</v>
      </c>
      <c r="AJ82" s="1">
        <f>14*15</f>
        <v>210</v>
      </c>
    </row>
    <row r="83" spans="33:36" ht="15.75" x14ac:dyDescent="0.25">
      <c r="AG83" s="90">
        <f>14/12*11</f>
        <v>12.833333333333334</v>
      </c>
      <c r="AH83" s="1">
        <f>14/12*3</f>
        <v>3.5</v>
      </c>
      <c r="AI83" s="1">
        <f>14/12*7</f>
        <v>8.1666666666666679</v>
      </c>
      <c r="AJ83" s="1">
        <f>AJ82-7</f>
        <v>203</v>
      </c>
    </row>
    <row r="84" spans="33:36" ht="15.75" x14ac:dyDescent="0.25">
      <c r="AG84" s="90">
        <f>SUM(AG82:AG83)</f>
        <v>222.83333333333334</v>
      </c>
      <c r="AH84" s="90">
        <f>SUM(AH82:AH83)</f>
        <v>45.5</v>
      </c>
      <c r="AI84" s="90">
        <f>SUM(AI82:AI83)</f>
        <v>190.16666666666666</v>
      </c>
      <c r="AJ84" s="1">
        <f>AJ83/2</f>
        <v>101.5</v>
      </c>
    </row>
    <row r="85" spans="33:36" ht="15.75" x14ac:dyDescent="0.25">
      <c r="AG85" s="1">
        <f>AG84/2</f>
        <v>111.41666666666667</v>
      </c>
      <c r="AH85" s="1">
        <f>AH84/2</f>
        <v>22.75</v>
      </c>
      <c r="AI85" s="90">
        <f>AI84-9</f>
        <v>181.16666666666666</v>
      </c>
    </row>
    <row r="86" spans="33:36" ht="15.75" x14ac:dyDescent="0.25">
      <c r="AI86" s="1">
        <f>AI85/2</f>
        <v>90.583333333333329</v>
      </c>
    </row>
  </sheetData>
  <mergeCells count="8">
    <mergeCell ref="C69:AE69"/>
    <mergeCell ref="C70:AE70"/>
    <mergeCell ref="P71:R71"/>
    <mergeCell ref="AB71:AC71"/>
    <mergeCell ref="C1:AE1"/>
    <mergeCell ref="C2:AE2"/>
    <mergeCell ref="P3:R3"/>
    <mergeCell ref="AB3:AC3"/>
  </mergeCells>
  <pageMargins left="0.7" right="0.45" top="0.5" bottom="0.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98"/>
  <sheetViews>
    <sheetView topLeftCell="A202" workbookViewId="0">
      <selection activeCell="E112" sqref="E112"/>
    </sheetView>
  </sheetViews>
  <sheetFormatPr defaultRowHeight="15" x14ac:dyDescent="0.25"/>
  <cols>
    <col min="1" max="1" width="17.85546875" customWidth="1"/>
    <col min="2" max="2" width="10.42578125" customWidth="1"/>
    <col min="3" max="11" width="9.140625" customWidth="1"/>
    <col min="12" max="13" width="13.140625" customWidth="1"/>
  </cols>
  <sheetData>
    <row r="2" spans="1:14" ht="23.25" x14ac:dyDescent="0.35">
      <c r="A2" s="353" t="s">
        <v>1268</v>
      </c>
      <c r="B2" s="353"/>
      <c r="C2" s="353"/>
      <c r="D2" s="353"/>
      <c r="E2" s="353"/>
      <c r="F2" s="353"/>
      <c r="G2" s="353"/>
    </row>
    <row r="4" spans="1:14" x14ac:dyDescent="0.25">
      <c r="A4" s="273" t="s">
        <v>1226</v>
      </c>
      <c r="B4" s="273" t="s">
        <v>1244</v>
      </c>
      <c r="C4" s="273" t="s">
        <v>1245</v>
      </c>
      <c r="D4" s="273" t="s">
        <v>1246</v>
      </c>
      <c r="E4" s="273" t="s">
        <v>1247</v>
      </c>
      <c r="F4" s="273" t="s">
        <v>1248</v>
      </c>
      <c r="G4" s="273" t="s">
        <v>1249</v>
      </c>
      <c r="H4" s="273" t="s">
        <v>1273</v>
      </c>
      <c r="I4" s="273" t="s">
        <v>1306</v>
      </c>
      <c r="J4" s="273" t="s">
        <v>1302</v>
      </c>
      <c r="K4" s="273" t="s">
        <v>1308</v>
      </c>
      <c r="L4" s="287" t="s">
        <v>1313</v>
      </c>
      <c r="M4" s="287" t="s">
        <v>1315</v>
      </c>
      <c r="N4" s="273" t="s">
        <v>1318</v>
      </c>
    </row>
    <row r="5" spans="1:14" x14ac:dyDescent="0.25">
      <c r="A5" s="274" t="s">
        <v>1253</v>
      </c>
      <c r="B5" s="274"/>
      <c r="C5" s="274">
        <v>284</v>
      </c>
      <c r="D5" s="274">
        <v>270</v>
      </c>
      <c r="E5" s="274">
        <v>313</v>
      </c>
      <c r="F5" s="274">
        <v>609</v>
      </c>
      <c r="G5" s="274">
        <v>284</v>
      </c>
      <c r="H5" s="274">
        <v>391</v>
      </c>
      <c r="I5" s="274">
        <v>324</v>
      </c>
      <c r="J5" s="274"/>
      <c r="K5" s="274"/>
      <c r="L5" s="274"/>
      <c r="M5" s="274"/>
      <c r="N5" s="274"/>
    </row>
    <row r="6" spans="1:14" s="283" customFormat="1" x14ac:dyDescent="0.25">
      <c r="A6" s="292" t="s">
        <v>1254</v>
      </c>
      <c r="B6" s="292">
        <v>270</v>
      </c>
      <c r="C6" s="292">
        <v>298</v>
      </c>
      <c r="D6" s="292">
        <v>270</v>
      </c>
      <c r="E6" s="292">
        <v>313</v>
      </c>
      <c r="F6" s="292">
        <v>638</v>
      </c>
      <c r="G6" s="292">
        <v>298</v>
      </c>
      <c r="H6" s="292">
        <v>409</v>
      </c>
      <c r="I6" s="292">
        <v>357</v>
      </c>
      <c r="J6" s="292"/>
      <c r="K6" s="292"/>
      <c r="L6" s="292"/>
      <c r="M6" s="292"/>
      <c r="N6" s="292"/>
    </row>
    <row r="7" spans="1:14" x14ac:dyDescent="0.25">
      <c r="A7" s="274" t="s">
        <v>1203</v>
      </c>
      <c r="B7" s="274">
        <v>270</v>
      </c>
      <c r="C7" s="274">
        <v>298</v>
      </c>
      <c r="D7" s="274">
        <v>270</v>
      </c>
      <c r="E7" s="274">
        <v>313</v>
      </c>
      <c r="F7" s="274">
        <v>638</v>
      </c>
      <c r="G7" s="274">
        <v>298</v>
      </c>
      <c r="H7" s="274">
        <v>409</v>
      </c>
      <c r="I7" s="274">
        <v>357</v>
      </c>
      <c r="J7" s="274"/>
      <c r="K7" s="274"/>
      <c r="L7" s="274"/>
      <c r="M7" s="274"/>
      <c r="N7" s="274">
        <v>360</v>
      </c>
    </row>
    <row r="8" spans="1:14" x14ac:dyDescent="0.25">
      <c r="A8" s="274" t="s">
        <v>1204</v>
      </c>
      <c r="B8" s="274">
        <v>270</v>
      </c>
      <c r="C8" s="274">
        <v>298</v>
      </c>
      <c r="D8" s="274">
        <v>270</v>
      </c>
      <c r="E8" s="274">
        <v>313</v>
      </c>
      <c r="F8" s="274">
        <v>638</v>
      </c>
      <c r="G8" s="274">
        <v>298</v>
      </c>
      <c r="H8" s="274">
        <v>409</v>
      </c>
      <c r="I8" s="274">
        <v>357</v>
      </c>
      <c r="J8" s="274"/>
      <c r="K8" s="274"/>
      <c r="L8" s="274"/>
      <c r="M8" s="274"/>
      <c r="N8" s="274">
        <v>360</v>
      </c>
    </row>
    <row r="9" spans="1:14" x14ac:dyDescent="0.25">
      <c r="A9" s="274" t="s">
        <v>1205</v>
      </c>
      <c r="B9" s="274">
        <v>270</v>
      </c>
      <c r="C9" s="274">
        <v>298</v>
      </c>
      <c r="D9" s="274">
        <v>270</v>
      </c>
      <c r="E9" s="274">
        <v>313</v>
      </c>
      <c r="F9" s="274">
        <v>638</v>
      </c>
      <c r="G9" s="274">
        <v>298</v>
      </c>
      <c r="H9" s="274">
        <v>409</v>
      </c>
      <c r="I9" s="274">
        <v>357</v>
      </c>
      <c r="J9" s="274"/>
      <c r="K9" s="274"/>
      <c r="L9" s="274"/>
      <c r="M9" s="274"/>
      <c r="N9" s="274">
        <v>360</v>
      </c>
    </row>
    <row r="10" spans="1:14" x14ac:dyDescent="0.25">
      <c r="A10" s="274" t="s">
        <v>1206</v>
      </c>
      <c r="B10" s="274">
        <v>270</v>
      </c>
      <c r="C10" s="274">
        <v>298</v>
      </c>
      <c r="D10" s="274">
        <v>270</v>
      </c>
      <c r="E10" s="274">
        <v>313</v>
      </c>
      <c r="F10" s="274">
        <v>638</v>
      </c>
      <c r="G10" s="274">
        <v>298</v>
      </c>
      <c r="H10" s="274">
        <v>409</v>
      </c>
      <c r="I10" s="274">
        <v>357</v>
      </c>
      <c r="J10" s="274"/>
      <c r="K10" s="274"/>
      <c r="L10" s="274"/>
      <c r="M10" s="274"/>
      <c r="N10" s="274">
        <v>360</v>
      </c>
    </row>
    <row r="11" spans="1:14" x14ac:dyDescent="0.25">
      <c r="A11" s="274" t="s">
        <v>1207</v>
      </c>
      <c r="B11" s="274">
        <v>270</v>
      </c>
      <c r="C11" s="274">
        <v>298</v>
      </c>
      <c r="D11" s="274">
        <v>270</v>
      </c>
      <c r="E11" s="274">
        <v>313</v>
      </c>
      <c r="F11" s="274">
        <v>638</v>
      </c>
      <c r="G11" s="274">
        <v>298</v>
      </c>
      <c r="H11" s="274">
        <v>409</v>
      </c>
      <c r="I11" s="274">
        <v>357</v>
      </c>
      <c r="J11" s="274"/>
      <c r="K11" s="274"/>
      <c r="L11" s="274"/>
      <c r="M11" s="274"/>
      <c r="N11" s="274">
        <v>360</v>
      </c>
    </row>
    <row r="12" spans="1:14" s="283" customFormat="1" x14ac:dyDescent="0.25">
      <c r="A12" s="292" t="s">
        <v>1208</v>
      </c>
      <c r="B12" s="292">
        <v>270</v>
      </c>
      <c r="C12" s="292">
        <v>313</v>
      </c>
      <c r="D12" s="292">
        <v>270</v>
      </c>
      <c r="E12" s="292">
        <v>328</v>
      </c>
      <c r="F12" s="292">
        <v>670</v>
      </c>
      <c r="G12" s="292">
        <v>313</v>
      </c>
      <c r="H12" s="292">
        <v>430</v>
      </c>
      <c r="I12" s="292">
        <v>375</v>
      </c>
      <c r="J12" s="292"/>
      <c r="K12" s="292"/>
      <c r="L12" s="292"/>
      <c r="M12" s="292"/>
      <c r="N12" s="292">
        <v>360</v>
      </c>
    </row>
    <row r="13" spans="1:14" s="283" customFormat="1" x14ac:dyDescent="0.25">
      <c r="A13" s="292" t="s">
        <v>1209</v>
      </c>
      <c r="B13" s="292">
        <v>314</v>
      </c>
      <c r="C13" s="292">
        <v>342</v>
      </c>
      <c r="D13" s="292">
        <v>314</v>
      </c>
      <c r="E13" s="292">
        <v>359</v>
      </c>
      <c r="F13" s="292">
        <v>717</v>
      </c>
      <c r="G13" s="292">
        <v>342</v>
      </c>
      <c r="H13" s="292">
        <v>470</v>
      </c>
      <c r="I13" s="292">
        <v>409</v>
      </c>
      <c r="J13" s="292"/>
      <c r="K13" s="292"/>
      <c r="L13" s="292"/>
      <c r="M13" s="292"/>
      <c r="N13" s="292">
        <v>396</v>
      </c>
    </row>
    <row r="14" spans="1:14" x14ac:dyDescent="0.25">
      <c r="A14" s="274" t="s">
        <v>1210</v>
      </c>
      <c r="B14" s="274">
        <v>314</v>
      </c>
      <c r="C14" s="274">
        <v>342</v>
      </c>
      <c r="D14" s="274">
        <v>314</v>
      </c>
      <c r="E14" s="274">
        <v>359</v>
      </c>
      <c r="F14" s="274">
        <v>717</v>
      </c>
      <c r="G14" s="274">
        <v>342</v>
      </c>
      <c r="H14" s="274">
        <v>470</v>
      </c>
      <c r="I14" s="274">
        <v>432</v>
      </c>
      <c r="J14" s="274">
        <v>548</v>
      </c>
      <c r="K14" s="274"/>
      <c r="L14" s="274"/>
      <c r="M14" s="274"/>
      <c r="N14" s="274">
        <v>396</v>
      </c>
    </row>
    <row r="15" spans="1:14" x14ac:dyDescent="0.25">
      <c r="A15" s="274" t="s">
        <v>1211</v>
      </c>
      <c r="B15" s="274">
        <v>314</v>
      </c>
      <c r="C15" s="274">
        <v>342</v>
      </c>
      <c r="D15" s="274">
        <v>314</v>
      </c>
      <c r="E15" s="274">
        <v>359</v>
      </c>
      <c r="F15" s="274">
        <v>717</v>
      </c>
      <c r="G15" s="274">
        <v>342</v>
      </c>
      <c r="H15" s="274">
        <v>470</v>
      </c>
      <c r="I15" s="274">
        <v>432</v>
      </c>
      <c r="J15" s="274">
        <v>548</v>
      </c>
      <c r="K15" s="274"/>
      <c r="L15" s="274"/>
      <c r="M15" s="274"/>
      <c r="N15" s="274">
        <v>396</v>
      </c>
    </row>
    <row r="16" spans="1:14" ht="13.5" customHeight="1" x14ac:dyDescent="0.25">
      <c r="A16" s="274" t="s">
        <v>1212</v>
      </c>
      <c r="B16" s="274">
        <v>330</v>
      </c>
      <c r="C16" s="274">
        <v>362</v>
      </c>
      <c r="D16" s="274">
        <v>330</v>
      </c>
      <c r="E16" s="274">
        <v>383</v>
      </c>
      <c r="F16" s="274">
        <v>717</v>
      </c>
      <c r="G16" s="274">
        <v>362</v>
      </c>
      <c r="H16" s="274">
        <v>470</v>
      </c>
      <c r="I16" s="274">
        <v>432</v>
      </c>
      <c r="J16" s="274">
        <v>548</v>
      </c>
      <c r="K16" s="274"/>
      <c r="L16" s="274"/>
      <c r="M16" s="274"/>
      <c r="N16" s="274">
        <v>405</v>
      </c>
    </row>
    <row r="17" spans="1:18" x14ac:dyDescent="0.25">
      <c r="A17" s="274" t="s">
        <v>1255</v>
      </c>
      <c r="B17" s="274">
        <v>330</v>
      </c>
      <c r="C17" s="274">
        <v>362</v>
      </c>
      <c r="D17" s="274">
        <v>330</v>
      </c>
      <c r="E17" s="274">
        <v>383</v>
      </c>
      <c r="F17" s="274">
        <v>717</v>
      </c>
      <c r="G17" s="274">
        <v>362</v>
      </c>
      <c r="H17" s="274">
        <v>470</v>
      </c>
      <c r="I17" s="274">
        <v>432</v>
      </c>
      <c r="J17" s="274">
        <v>548</v>
      </c>
      <c r="K17" s="274"/>
      <c r="L17" s="274"/>
      <c r="M17" s="274"/>
      <c r="N17" s="274">
        <v>405</v>
      </c>
    </row>
    <row r="18" spans="1:18" x14ac:dyDescent="0.25">
      <c r="A18" s="274" t="s">
        <v>1256</v>
      </c>
      <c r="B18" s="274">
        <v>330</v>
      </c>
      <c r="C18" s="274">
        <v>362</v>
      </c>
      <c r="D18" s="274">
        <v>330</v>
      </c>
      <c r="E18" s="274">
        <v>383</v>
      </c>
      <c r="F18" s="274">
        <v>717</v>
      </c>
      <c r="G18" s="274">
        <v>362</v>
      </c>
      <c r="H18" s="274">
        <v>470</v>
      </c>
      <c r="I18" s="274">
        <v>432</v>
      </c>
      <c r="J18" s="274">
        <v>548</v>
      </c>
      <c r="K18" s="274"/>
      <c r="L18" s="274"/>
      <c r="M18" s="274"/>
      <c r="N18" s="274">
        <v>405</v>
      </c>
    </row>
    <row r="19" spans="1:18" x14ac:dyDescent="0.25">
      <c r="A19" s="274" t="s">
        <v>1257</v>
      </c>
      <c r="B19" s="274">
        <v>330</v>
      </c>
      <c r="C19" s="274">
        <v>362</v>
      </c>
      <c r="D19" s="274">
        <v>330</v>
      </c>
      <c r="E19" s="274">
        <v>383</v>
      </c>
      <c r="F19" s="274">
        <v>717</v>
      </c>
      <c r="G19" s="274">
        <v>362</v>
      </c>
      <c r="H19" s="274">
        <v>470</v>
      </c>
      <c r="I19" s="274">
        <v>432</v>
      </c>
      <c r="J19" s="274">
        <v>548</v>
      </c>
      <c r="K19" s="274"/>
      <c r="L19" s="274"/>
      <c r="M19" s="274"/>
      <c r="N19" s="274">
        <v>405</v>
      </c>
    </row>
    <row r="20" spans="1:18" x14ac:dyDescent="0.25">
      <c r="A20" s="274" t="s">
        <v>1258</v>
      </c>
      <c r="B20" s="274">
        <v>330</v>
      </c>
      <c r="C20" s="274">
        <v>362</v>
      </c>
      <c r="D20" s="274">
        <v>330</v>
      </c>
      <c r="E20" s="274">
        <v>383</v>
      </c>
      <c r="F20" s="274">
        <v>717</v>
      </c>
      <c r="G20" s="274">
        <v>362</v>
      </c>
      <c r="H20" s="274">
        <v>470</v>
      </c>
      <c r="I20" s="274">
        <v>432</v>
      </c>
      <c r="J20" s="274">
        <v>548</v>
      </c>
      <c r="K20" s="274"/>
      <c r="L20" s="274"/>
      <c r="M20" s="274"/>
      <c r="N20" s="274">
        <v>405</v>
      </c>
    </row>
    <row r="21" spans="1:18" x14ac:dyDescent="0.25">
      <c r="A21" s="274" t="s">
        <v>1259</v>
      </c>
      <c r="B21" s="274">
        <v>330</v>
      </c>
      <c r="C21" s="274">
        <v>362</v>
      </c>
      <c r="D21" s="274">
        <v>330</v>
      </c>
      <c r="E21" s="274">
        <v>383</v>
      </c>
      <c r="F21" s="274">
        <v>717</v>
      </c>
      <c r="G21" s="274">
        <v>362</v>
      </c>
      <c r="H21" s="274">
        <v>470</v>
      </c>
      <c r="I21" s="274">
        <v>432</v>
      </c>
      <c r="J21" s="274">
        <v>548</v>
      </c>
      <c r="K21" s="274"/>
      <c r="L21" s="274">
        <v>450</v>
      </c>
      <c r="M21" s="274"/>
      <c r="N21" s="274">
        <v>405</v>
      </c>
    </row>
    <row r="22" spans="1:18" x14ac:dyDescent="0.25">
      <c r="A22" s="274" t="s">
        <v>1260</v>
      </c>
      <c r="B22" s="274">
        <v>330</v>
      </c>
      <c r="C22" s="274">
        <v>362</v>
      </c>
      <c r="D22" s="274">
        <v>330</v>
      </c>
      <c r="E22" s="274">
        <v>383</v>
      </c>
      <c r="F22" s="274">
        <v>717</v>
      </c>
      <c r="G22" s="274">
        <v>362</v>
      </c>
      <c r="H22" s="274">
        <v>470</v>
      </c>
      <c r="I22" s="274">
        <v>432</v>
      </c>
      <c r="J22" s="274">
        <v>548</v>
      </c>
      <c r="K22" s="274"/>
      <c r="L22" s="274">
        <v>450</v>
      </c>
      <c r="M22" s="274"/>
      <c r="N22" s="274">
        <v>405</v>
      </c>
    </row>
    <row r="23" spans="1:18" x14ac:dyDescent="0.25">
      <c r="A23" s="274" t="s">
        <v>1261</v>
      </c>
      <c r="B23" s="274">
        <v>330</v>
      </c>
      <c r="C23" s="274">
        <v>362</v>
      </c>
      <c r="D23" s="274">
        <v>330</v>
      </c>
      <c r="E23" s="274">
        <v>383</v>
      </c>
      <c r="F23" s="274">
        <v>717</v>
      </c>
      <c r="G23" s="274">
        <v>362</v>
      </c>
      <c r="H23" s="274">
        <v>470</v>
      </c>
      <c r="I23" s="274">
        <v>432</v>
      </c>
      <c r="J23" s="274">
        <v>548</v>
      </c>
      <c r="K23" s="274"/>
      <c r="L23" s="274">
        <v>450</v>
      </c>
      <c r="M23" s="274"/>
      <c r="N23" s="274">
        <v>405</v>
      </c>
    </row>
    <row r="24" spans="1:18" s="283" customFormat="1" x14ac:dyDescent="0.25">
      <c r="A24" s="292" t="s">
        <v>1262</v>
      </c>
      <c r="B24" s="292">
        <v>380</v>
      </c>
      <c r="C24" s="292">
        <v>412</v>
      </c>
      <c r="D24" s="292">
        <v>380</v>
      </c>
      <c r="E24" s="292">
        <v>433</v>
      </c>
      <c r="F24" s="292">
        <v>788</v>
      </c>
      <c r="G24" s="292">
        <v>412</v>
      </c>
      <c r="H24" s="292">
        <v>520</v>
      </c>
      <c r="I24" s="292">
        <v>482</v>
      </c>
      <c r="J24" s="292">
        <v>548</v>
      </c>
      <c r="K24" s="292">
        <v>480</v>
      </c>
      <c r="L24" s="292">
        <v>450</v>
      </c>
      <c r="M24" s="292"/>
      <c r="N24" s="292">
        <v>455</v>
      </c>
    </row>
    <row r="25" spans="1:18" x14ac:dyDescent="0.25">
      <c r="A25" s="274" t="s">
        <v>1263</v>
      </c>
      <c r="B25" s="274">
        <v>380</v>
      </c>
      <c r="C25" s="274">
        <v>412</v>
      </c>
      <c r="D25" s="274">
        <v>380</v>
      </c>
      <c r="E25" s="274">
        <v>433</v>
      </c>
      <c r="F25" s="274">
        <v>788</v>
      </c>
      <c r="G25" s="274">
        <v>412</v>
      </c>
      <c r="H25" s="274">
        <v>520</v>
      </c>
      <c r="I25" s="274">
        <v>482</v>
      </c>
      <c r="J25" s="274">
        <v>548</v>
      </c>
      <c r="K25" s="274">
        <v>480</v>
      </c>
      <c r="L25" s="274">
        <v>450</v>
      </c>
      <c r="M25" s="274"/>
      <c r="N25" s="274">
        <v>455</v>
      </c>
    </row>
    <row r="26" spans="1:18" x14ac:dyDescent="0.25">
      <c r="A26" s="274" t="s">
        <v>1264</v>
      </c>
      <c r="B26" s="274">
        <v>380</v>
      </c>
      <c r="C26" s="274">
        <v>412</v>
      </c>
      <c r="D26" s="274">
        <v>380</v>
      </c>
      <c r="E26" s="274">
        <v>433</v>
      </c>
      <c r="F26" s="274">
        <v>788</v>
      </c>
      <c r="G26" s="274">
        <v>412</v>
      </c>
      <c r="H26" s="274">
        <v>520</v>
      </c>
      <c r="I26" s="274">
        <v>482</v>
      </c>
      <c r="J26" s="274">
        <v>603</v>
      </c>
      <c r="K26" s="274">
        <v>480</v>
      </c>
      <c r="L26" s="274">
        <v>450</v>
      </c>
      <c r="M26" s="274"/>
      <c r="N26" s="274">
        <v>455</v>
      </c>
    </row>
    <row r="27" spans="1:18" x14ac:dyDescent="0.25">
      <c r="A27" s="274" t="s">
        <v>1265</v>
      </c>
      <c r="B27" s="274">
        <v>380</v>
      </c>
      <c r="C27" s="274">
        <v>412</v>
      </c>
      <c r="D27" s="274">
        <v>380</v>
      </c>
      <c r="E27" s="274"/>
      <c r="F27" s="274">
        <v>788</v>
      </c>
      <c r="G27" s="274"/>
      <c r="H27" s="274">
        <v>520</v>
      </c>
      <c r="I27" s="274">
        <v>482</v>
      </c>
      <c r="J27" s="274">
        <v>603</v>
      </c>
      <c r="K27" s="274">
        <v>480</v>
      </c>
      <c r="L27" s="274">
        <v>450</v>
      </c>
      <c r="M27" s="274">
        <v>300</v>
      </c>
      <c r="N27" s="274">
        <v>455</v>
      </c>
      <c r="R27" s="289"/>
    </row>
    <row r="28" spans="1:18" x14ac:dyDescent="0.25">
      <c r="A28" s="274" t="s">
        <v>1266</v>
      </c>
      <c r="B28" s="274"/>
      <c r="C28" s="274">
        <v>412</v>
      </c>
      <c r="D28" s="274">
        <v>380</v>
      </c>
      <c r="E28" s="274"/>
      <c r="F28" s="274">
        <v>788</v>
      </c>
      <c r="G28" s="274"/>
      <c r="H28" s="274">
        <v>520</v>
      </c>
      <c r="I28" s="274">
        <v>482</v>
      </c>
      <c r="J28" s="274">
        <v>603</v>
      </c>
      <c r="K28" s="274">
        <v>480</v>
      </c>
      <c r="L28" s="274">
        <v>450</v>
      </c>
      <c r="M28" s="274">
        <v>300</v>
      </c>
      <c r="N28" s="274">
        <v>455</v>
      </c>
    </row>
    <row r="29" spans="1:18" x14ac:dyDescent="0.25">
      <c r="A29" s="274" t="s">
        <v>1267</v>
      </c>
      <c r="B29" s="274"/>
      <c r="C29" s="274">
        <v>412</v>
      </c>
      <c r="D29" s="274">
        <v>380</v>
      </c>
      <c r="E29" s="274"/>
      <c r="F29" s="274">
        <v>788</v>
      </c>
      <c r="G29" s="274"/>
      <c r="H29" s="274">
        <v>520</v>
      </c>
      <c r="I29" s="274">
        <v>482</v>
      </c>
      <c r="J29" s="274">
        <v>603</v>
      </c>
      <c r="K29" s="274">
        <v>480</v>
      </c>
      <c r="L29" s="274">
        <v>450</v>
      </c>
      <c r="M29" s="274">
        <v>300</v>
      </c>
      <c r="N29" s="274">
        <v>455</v>
      </c>
    </row>
    <row r="30" spans="1:18" x14ac:dyDescent="0.25">
      <c r="A30" s="274" t="s">
        <v>1274</v>
      </c>
      <c r="B30" s="274"/>
      <c r="C30" s="274"/>
      <c r="D30" s="274"/>
      <c r="E30" s="274"/>
      <c r="F30" s="274"/>
      <c r="G30" s="274"/>
      <c r="H30" s="274">
        <v>520</v>
      </c>
      <c r="I30" s="274">
        <v>482</v>
      </c>
      <c r="J30" s="274">
        <v>603</v>
      </c>
      <c r="K30" s="274">
        <v>480</v>
      </c>
      <c r="L30" s="274">
        <v>450</v>
      </c>
      <c r="M30" s="274">
        <v>300</v>
      </c>
      <c r="N30" s="274">
        <v>455</v>
      </c>
    </row>
    <row r="31" spans="1:18" x14ac:dyDescent="0.25">
      <c r="A31" s="274" t="s">
        <v>1282</v>
      </c>
      <c r="B31" s="274"/>
      <c r="C31" s="274"/>
      <c r="D31" s="274"/>
      <c r="E31" s="274"/>
      <c r="F31" s="274"/>
      <c r="G31" s="274"/>
      <c r="H31" s="274"/>
      <c r="I31" s="274">
        <v>482</v>
      </c>
      <c r="J31" s="274">
        <v>603</v>
      </c>
      <c r="K31" s="274">
        <v>480</v>
      </c>
      <c r="L31" s="274">
        <v>450</v>
      </c>
      <c r="M31" s="274">
        <v>300</v>
      </c>
      <c r="N31" s="274">
        <v>455</v>
      </c>
    </row>
    <row r="32" spans="1:18" s="283" customFormat="1" x14ac:dyDescent="0.25">
      <c r="A32" s="292" t="s">
        <v>1283</v>
      </c>
      <c r="B32" s="292"/>
      <c r="C32" s="292"/>
      <c r="D32" s="292"/>
      <c r="E32" s="292"/>
      <c r="F32" s="292"/>
      <c r="G32" s="292"/>
      <c r="H32" s="292"/>
      <c r="I32" s="292">
        <v>532</v>
      </c>
      <c r="J32" s="292">
        <v>708</v>
      </c>
      <c r="K32" s="292">
        <v>571</v>
      </c>
      <c r="L32" s="292">
        <v>586</v>
      </c>
      <c r="M32" s="292">
        <v>357</v>
      </c>
      <c r="N32" s="292">
        <v>532</v>
      </c>
    </row>
    <row r="33" spans="1:14" x14ac:dyDescent="0.25">
      <c r="A33" s="274" t="s">
        <v>1284</v>
      </c>
      <c r="B33" s="274"/>
      <c r="C33" s="274"/>
      <c r="D33" s="274"/>
      <c r="E33" s="274"/>
      <c r="F33" s="274"/>
      <c r="G33" s="274"/>
      <c r="H33" s="274"/>
      <c r="I33" s="274">
        <v>532</v>
      </c>
      <c r="J33" s="274">
        <v>708</v>
      </c>
      <c r="K33" s="274">
        <v>571</v>
      </c>
      <c r="L33" s="274">
        <v>586</v>
      </c>
      <c r="M33" s="274">
        <v>357</v>
      </c>
      <c r="N33" s="274">
        <v>532</v>
      </c>
    </row>
    <row r="34" spans="1:14" x14ac:dyDescent="0.25">
      <c r="A34" s="274" t="s">
        <v>1285</v>
      </c>
      <c r="B34" s="274"/>
      <c r="C34" s="274"/>
      <c r="D34" s="274"/>
      <c r="E34" s="274"/>
      <c r="F34" s="274"/>
      <c r="G34" s="274"/>
      <c r="H34" s="274"/>
      <c r="I34" s="274">
        <v>532</v>
      </c>
      <c r="J34" s="274">
        <v>708</v>
      </c>
      <c r="K34" s="274">
        <v>571</v>
      </c>
      <c r="L34" s="274">
        <v>586</v>
      </c>
      <c r="M34" s="274">
        <v>357</v>
      </c>
      <c r="N34" s="274">
        <v>532</v>
      </c>
    </row>
    <row r="35" spans="1:14" x14ac:dyDescent="0.25">
      <c r="A35" s="274" t="s">
        <v>1297</v>
      </c>
      <c r="B35" s="274"/>
      <c r="C35" s="274"/>
      <c r="D35" s="274"/>
      <c r="E35" s="274"/>
      <c r="F35" s="274"/>
      <c r="G35" s="274"/>
      <c r="H35" s="274"/>
      <c r="I35" s="274">
        <v>532</v>
      </c>
      <c r="J35" s="274">
        <v>708</v>
      </c>
      <c r="K35" s="274">
        <v>571</v>
      </c>
      <c r="L35" s="274">
        <v>586</v>
      </c>
      <c r="M35" s="274">
        <v>357</v>
      </c>
      <c r="N35" s="274">
        <v>532</v>
      </c>
    </row>
    <row r="36" spans="1:14" s="283" customFormat="1" x14ac:dyDescent="0.25">
      <c r="A36" s="292" t="s">
        <v>1298</v>
      </c>
      <c r="B36" s="292"/>
      <c r="C36" s="292"/>
      <c r="D36" s="292"/>
      <c r="E36" s="292"/>
      <c r="F36" s="292"/>
      <c r="G36" s="292"/>
      <c r="H36" s="292"/>
      <c r="I36" s="292">
        <v>567</v>
      </c>
      <c r="J36" s="292">
        <v>708</v>
      </c>
      <c r="K36" s="292">
        <v>606</v>
      </c>
      <c r="L36" s="292">
        <v>586</v>
      </c>
      <c r="M36" s="292"/>
      <c r="N36" s="292">
        <v>567</v>
      </c>
    </row>
    <row r="37" spans="1:14" x14ac:dyDescent="0.25">
      <c r="A37" s="274" t="s">
        <v>1299</v>
      </c>
      <c r="B37" s="274"/>
      <c r="C37" s="274"/>
      <c r="D37" s="274"/>
      <c r="E37" s="274"/>
      <c r="F37" s="274"/>
      <c r="G37" s="274"/>
      <c r="H37" s="274"/>
      <c r="I37" s="274">
        <v>567</v>
      </c>
      <c r="J37" s="274">
        <v>708</v>
      </c>
      <c r="K37" s="274">
        <v>606</v>
      </c>
      <c r="L37" s="274">
        <v>586</v>
      </c>
      <c r="M37" s="274"/>
      <c r="N37" s="274">
        <v>567</v>
      </c>
    </row>
    <row r="38" spans="1:14" s="283" customFormat="1" x14ac:dyDescent="0.25">
      <c r="A38" s="292" t="s">
        <v>1307</v>
      </c>
      <c r="B38" s="292"/>
      <c r="C38" s="292"/>
      <c r="D38" s="292"/>
      <c r="E38" s="292"/>
      <c r="F38" s="292"/>
      <c r="G38" s="292"/>
      <c r="H38" s="292"/>
      <c r="I38" s="292">
        <v>567</v>
      </c>
      <c r="J38" s="292">
        <v>743</v>
      </c>
      <c r="K38" s="292">
        <v>606</v>
      </c>
      <c r="L38" s="292">
        <v>586</v>
      </c>
      <c r="M38" s="292"/>
      <c r="N38" s="292">
        <v>567</v>
      </c>
    </row>
    <row r="39" spans="1:14" x14ac:dyDescent="0.25">
      <c r="A39" s="274" t="s">
        <v>1310</v>
      </c>
      <c r="B39" s="274"/>
      <c r="C39" s="274"/>
      <c r="D39" s="274"/>
      <c r="E39" s="274"/>
      <c r="F39" s="274"/>
      <c r="G39" s="274"/>
      <c r="H39" s="274"/>
      <c r="I39" s="274"/>
      <c r="J39" s="274"/>
      <c r="K39" s="274">
        <v>606</v>
      </c>
      <c r="L39" s="274">
        <v>586</v>
      </c>
      <c r="M39" s="274"/>
      <c r="N39" s="274">
        <v>567</v>
      </c>
    </row>
    <row r="40" spans="1:14" x14ac:dyDescent="0.25">
      <c r="A40" s="274" t="s">
        <v>1311</v>
      </c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>
        <v>567</v>
      </c>
    </row>
    <row r="41" spans="1:14" x14ac:dyDescent="0.25">
      <c r="A41" s="274" t="s">
        <v>1319</v>
      </c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</row>
    <row r="42" spans="1:14" x14ac:dyDescent="0.25">
      <c r="A42" s="275" t="s">
        <v>1269</v>
      </c>
      <c r="B42" s="275">
        <f>SUM(B5:B29)</f>
        <v>6992</v>
      </c>
      <c r="C42" s="275">
        <f t="shared" ref="C42:F42" si="0">SUM(C5:C29)</f>
        <v>8779</v>
      </c>
      <c r="D42" s="275">
        <f t="shared" si="0"/>
        <v>8022</v>
      </c>
      <c r="E42" s="275">
        <f t="shared" si="0"/>
        <v>7959</v>
      </c>
      <c r="F42" s="275">
        <f t="shared" si="0"/>
        <v>17722</v>
      </c>
      <c r="G42" s="275">
        <f>SUM(G5:G29)</f>
        <v>7543</v>
      </c>
      <c r="H42" s="275">
        <f>SUM(H5:H30)</f>
        <v>12085</v>
      </c>
      <c r="I42" s="275">
        <f>SUM(I5:I38)</f>
        <v>15255</v>
      </c>
      <c r="J42" s="275">
        <f>SUM(J5:J38)</f>
        <v>15185</v>
      </c>
      <c r="K42" s="275">
        <f>SUM(K5:K40)</f>
        <v>8548</v>
      </c>
      <c r="L42" s="275">
        <f>SUM(L5:L40)</f>
        <v>9638</v>
      </c>
      <c r="M42" s="275">
        <f>SUM(M5:M40)</f>
        <v>2928</v>
      </c>
      <c r="N42" s="275">
        <f>SUM(N5:N40)</f>
        <v>15191</v>
      </c>
    </row>
    <row r="43" spans="1:14" x14ac:dyDescent="0.25">
      <c r="A43" s="273" t="s">
        <v>1270</v>
      </c>
      <c r="B43" s="273">
        <f>B42*2</f>
        <v>13984</v>
      </c>
      <c r="C43" s="273">
        <f t="shared" ref="C43:G43" si="1">C42*2</f>
        <v>17558</v>
      </c>
      <c r="D43" s="273">
        <f t="shared" si="1"/>
        <v>16044</v>
      </c>
      <c r="E43" s="273">
        <f t="shared" si="1"/>
        <v>15918</v>
      </c>
      <c r="F43" s="273">
        <f t="shared" si="1"/>
        <v>35444</v>
      </c>
      <c r="G43" s="273">
        <f t="shared" si="1"/>
        <v>15086</v>
      </c>
      <c r="H43" s="273">
        <f t="shared" ref="H43:I43" si="2">H42*2</f>
        <v>24170</v>
      </c>
      <c r="I43" s="273">
        <f t="shared" si="2"/>
        <v>30510</v>
      </c>
      <c r="J43" s="273">
        <f t="shared" ref="J43" si="3">J42*2</f>
        <v>30370</v>
      </c>
      <c r="K43" s="273">
        <f>K42*2</f>
        <v>17096</v>
      </c>
      <c r="L43" s="273">
        <f>L42*2</f>
        <v>19276</v>
      </c>
      <c r="M43" s="273">
        <f>M42*2</f>
        <v>5856</v>
      </c>
      <c r="N43" s="273">
        <f>N42*2</f>
        <v>30382</v>
      </c>
    </row>
    <row r="45" spans="1:14" ht="23.25" x14ac:dyDescent="0.35">
      <c r="A45" s="353" t="s">
        <v>1268</v>
      </c>
      <c r="B45" s="353"/>
      <c r="C45" s="353"/>
      <c r="D45" s="353"/>
      <c r="E45" s="353"/>
      <c r="F45" s="353"/>
      <c r="G45" s="353"/>
    </row>
    <row r="47" spans="1:14" x14ac:dyDescent="0.25">
      <c r="A47" s="273" t="s">
        <v>1226</v>
      </c>
      <c r="B47" s="273" t="s">
        <v>1279</v>
      </c>
      <c r="C47" s="273" t="s">
        <v>1280</v>
      </c>
      <c r="D47" s="273" t="s">
        <v>1281</v>
      </c>
      <c r="E47" s="273"/>
      <c r="F47" s="273"/>
      <c r="G47" s="273"/>
      <c r="H47" s="273"/>
    </row>
    <row r="48" spans="1:14" x14ac:dyDescent="0.25">
      <c r="A48" s="274" t="s">
        <v>1210</v>
      </c>
      <c r="B48" s="274">
        <v>330</v>
      </c>
      <c r="C48" s="274"/>
      <c r="D48" s="274"/>
      <c r="E48" s="274"/>
      <c r="F48" s="274"/>
      <c r="G48" s="274"/>
      <c r="H48" s="274"/>
    </row>
    <row r="49" spans="1:13" x14ac:dyDescent="0.25">
      <c r="A49" s="274" t="s">
        <v>1211</v>
      </c>
      <c r="B49" s="274">
        <v>330</v>
      </c>
      <c r="C49" s="274"/>
      <c r="D49" s="274"/>
      <c r="E49" s="274"/>
      <c r="F49" s="274"/>
      <c r="G49" s="274"/>
      <c r="H49" s="274"/>
    </row>
    <row r="50" spans="1:13" x14ac:dyDescent="0.25">
      <c r="A50" s="274" t="s">
        <v>1212</v>
      </c>
      <c r="B50" s="274">
        <v>330</v>
      </c>
      <c r="C50" s="274"/>
      <c r="D50" s="274"/>
      <c r="E50" s="274"/>
      <c r="F50" s="274"/>
      <c r="G50" s="274"/>
      <c r="H50" s="274"/>
    </row>
    <row r="51" spans="1:13" x14ac:dyDescent="0.25">
      <c r="A51" s="274" t="s">
        <v>1255</v>
      </c>
      <c r="B51" s="274">
        <v>330</v>
      </c>
      <c r="C51" s="274"/>
      <c r="D51" s="274"/>
      <c r="E51" s="274"/>
      <c r="F51" s="274"/>
      <c r="G51" s="274"/>
      <c r="H51" s="274"/>
    </row>
    <row r="52" spans="1:13" x14ac:dyDescent="0.25">
      <c r="A52" s="274" t="s">
        <v>1256</v>
      </c>
      <c r="B52" s="274">
        <v>330</v>
      </c>
      <c r="C52" s="274"/>
      <c r="D52" s="274"/>
      <c r="E52" s="274"/>
      <c r="F52" s="274"/>
      <c r="G52" s="274"/>
      <c r="H52" s="274"/>
    </row>
    <row r="53" spans="1:13" x14ac:dyDescent="0.25">
      <c r="A53" s="274" t="s">
        <v>1257</v>
      </c>
      <c r="B53" s="274">
        <v>330</v>
      </c>
      <c r="C53" s="274"/>
      <c r="D53" s="274"/>
      <c r="E53" s="274"/>
      <c r="F53" s="274"/>
      <c r="G53" s="274"/>
      <c r="H53" s="274"/>
    </row>
    <row r="54" spans="1:13" x14ac:dyDescent="0.25">
      <c r="A54" s="274" t="s">
        <v>1258</v>
      </c>
      <c r="B54" s="274">
        <v>330</v>
      </c>
      <c r="C54" s="274"/>
      <c r="D54" s="274"/>
      <c r="E54" s="274"/>
      <c r="F54" s="274"/>
      <c r="G54" s="274"/>
      <c r="H54" s="274"/>
    </row>
    <row r="55" spans="1:13" x14ac:dyDescent="0.25">
      <c r="A55" s="274" t="s">
        <v>1259</v>
      </c>
      <c r="B55" s="274">
        <v>330</v>
      </c>
      <c r="C55" s="274"/>
      <c r="D55" s="274"/>
      <c r="E55" s="274"/>
      <c r="F55" s="274"/>
      <c r="G55" s="274"/>
      <c r="H55" s="274"/>
    </row>
    <row r="56" spans="1:13" x14ac:dyDescent="0.25">
      <c r="A56" s="274" t="s">
        <v>1260</v>
      </c>
      <c r="B56" s="274">
        <v>330</v>
      </c>
      <c r="C56" s="274"/>
      <c r="D56" s="274"/>
      <c r="E56" s="274"/>
      <c r="F56" s="274"/>
      <c r="G56" s="274"/>
      <c r="H56" s="274"/>
    </row>
    <row r="57" spans="1:13" x14ac:dyDescent="0.25">
      <c r="A57" s="274" t="s">
        <v>1261</v>
      </c>
      <c r="B57" s="274">
        <v>330</v>
      </c>
      <c r="C57" s="274"/>
      <c r="D57" s="274"/>
      <c r="E57" s="274"/>
      <c r="F57" s="274"/>
      <c r="G57" s="274"/>
      <c r="H57" s="274"/>
    </row>
    <row r="58" spans="1:13" x14ac:dyDescent="0.25">
      <c r="A58" s="274" t="s">
        <v>1262</v>
      </c>
      <c r="B58" s="274">
        <v>330</v>
      </c>
      <c r="C58" s="274"/>
      <c r="D58" s="274"/>
      <c r="E58" s="274"/>
      <c r="F58" s="274"/>
      <c r="G58" s="274"/>
      <c r="H58" s="274"/>
    </row>
    <row r="59" spans="1:13" x14ac:dyDescent="0.25">
      <c r="A59" s="274" t="s">
        <v>1263</v>
      </c>
      <c r="B59" s="274">
        <v>330</v>
      </c>
      <c r="C59" s="274"/>
      <c r="D59" s="274"/>
      <c r="E59" s="274"/>
      <c r="F59" s="274"/>
      <c r="G59" s="274"/>
      <c r="H59" s="274"/>
    </row>
    <row r="60" spans="1:13" x14ac:dyDescent="0.25">
      <c r="A60" s="274" t="s">
        <v>1264</v>
      </c>
      <c r="B60" s="274">
        <v>380</v>
      </c>
      <c r="C60" s="274"/>
      <c r="D60" s="274"/>
      <c r="E60" s="274"/>
      <c r="F60" s="274"/>
      <c r="G60" s="274"/>
      <c r="H60" s="274"/>
    </row>
    <row r="61" spans="1:13" x14ac:dyDescent="0.25">
      <c r="A61" s="274" t="s">
        <v>1265</v>
      </c>
      <c r="B61" s="274">
        <v>380</v>
      </c>
      <c r="C61" s="274">
        <v>300</v>
      </c>
      <c r="D61" s="274">
        <v>540</v>
      </c>
      <c r="E61" s="274"/>
      <c r="F61" s="274"/>
      <c r="G61" s="274"/>
      <c r="H61" s="274"/>
      <c r="K61" s="346" t="s">
        <v>1300</v>
      </c>
      <c r="L61" s="346"/>
      <c r="M61" s="274">
        <v>365</v>
      </c>
    </row>
    <row r="62" spans="1:13" x14ac:dyDescent="0.25">
      <c r="A62" s="274" t="s">
        <v>1266</v>
      </c>
      <c r="B62" s="274">
        <v>380</v>
      </c>
      <c r="C62" s="274">
        <v>300</v>
      </c>
      <c r="D62" s="274">
        <v>540</v>
      </c>
      <c r="E62" s="274"/>
      <c r="F62" s="274"/>
      <c r="G62" s="274"/>
      <c r="H62" s="274"/>
      <c r="K62" s="346"/>
      <c r="L62" s="346"/>
      <c r="M62" s="274"/>
    </row>
    <row r="63" spans="1:13" x14ac:dyDescent="0.25">
      <c r="A63" s="274" t="s">
        <v>1267</v>
      </c>
      <c r="B63" s="274">
        <v>380</v>
      </c>
      <c r="C63" s="274">
        <v>300</v>
      </c>
      <c r="D63" s="274">
        <v>540</v>
      </c>
      <c r="E63" s="274"/>
      <c r="F63" s="274"/>
      <c r="G63" s="274"/>
      <c r="H63" s="274"/>
      <c r="K63" s="346" t="s">
        <v>1286</v>
      </c>
      <c r="L63" s="346"/>
      <c r="M63" s="274">
        <v>52</v>
      </c>
    </row>
    <row r="64" spans="1:13" x14ac:dyDescent="0.25">
      <c r="A64" s="274" t="s">
        <v>1274</v>
      </c>
      <c r="B64" s="274">
        <v>380</v>
      </c>
      <c r="C64" s="274">
        <v>300</v>
      </c>
      <c r="D64" s="274">
        <v>540</v>
      </c>
      <c r="E64" s="274"/>
      <c r="F64" s="274"/>
      <c r="G64" s="274"/>
      <c r="H64" s="274"/>
      <c r="K64" s="278" t="s">
        <v>1287</v>
      </c>
      <c r="L64" s="278"/>
      <c r="M64" s="278">
        <v>14</v>
      </c>
    </row>
    <row r="65" spans="1:13" x14ac:dyDescent="0.25">
      <c r="A65" s="274" t="s">
        <v>1282</v>
      </c>
      <c r="B65" s="274">
        <v>380</v>
      </c>
      <c r="C65" s="274">
        <v>300</v>
      </c>
      <c r="D65" s="274">
        <v>540</v>
      </c>
      <c r="E65" s="274"/>
      <c r="F65" s="274"/>
      <c r="G65" s="274"/>
      <c r="H65" s="274"/>
      <c r="K65" s="278" t="s">
        <v>1288</v>
      </c>
      <c r="L65" s="278"/>
      <c r="M65" s="278">
        <v>11</v>
      </c>
    </row>
    <row r="66" spans="1:13" x14ac:dyDescent="0.25">
      <c r="A66" s="274" t="s">
        <v>1283</v>
      </c>
      <c r="B66" s="274">
        <v>443</v>
      </c>
      <c r="C66" s="274">
        <v>357</v>
      </c>
      <c r="D66" s="274">
        <v>643</v>
      </c>
      <c r="E66" s="274"/>
      <c r="F66" s="274"/>
      <c r="G66" s="274"/>
      <c r="H66" s="274"/>
      <c r="K66" s="346" t="s">
        <v>1289</v>
      </c>
      <c r="L66" s="346"/>
      <c r="M66" s="274">
        <v>20</v>
      </c>
    </row>
    <row r="67" spans="1:13" x14ac:dyDescent="0.25">
      <c r="A67" s="274" t="s">
        <v>1284</v>
      </c>
      <c r="B67" s="274"/>
      <c r="C67" s="274">
        <v>357</v>
      </c>
      <c r="D67" s="274">
        <v>643</v>
      </c>
      <c r="E67" s="274"/>
      <c r="F67" s="274"/>
      <c r="G67" s="274"/>
      <c r="H67" s="274"/>
      <c r="K67" s="346" t="s">
        <v>1291</v>
      </c>
      <c r="L67" s="346"/>
      <c r="M67" s="274">
        <f>SUM(M63:M66)</f>
        <v>97</v>
      </c>
    </row>
    <row r="68" spans="1:13" x14ac:dyDescent="0.25">
      <c r="A68" s="274" t="s">
        <v>1285</v>
      </c>
      <c r="B68" s="274"/>
      <c r="C68" s="274">
        <v>357</v>
      </c>
      <c r="D68" s="274">
        <v>643</v>
      </c>
      <c r="E68" s="274"/>
      <c r="F68" s="274"/>
      <c r="G68" s="274"/>
      <c r="H68" s="274"/>
      <c r="K68" s="351"/>
      <c r="L68" s="352"/>
      <c r="M68" s="274"/>
    </row>
    <row r="69" spans="1:13" x14ac:dyDescent="0.25">
      <c r="A69" s="275" t="s">
        <v>1269</v>
      </c>
      <c r="B69" s="275">
        <f>SUM(B48:B68)</f>
        <v>6683</v>
      </c>
      <c r="C69" s="275">
        <f>SUM(C48:C68)</f>
        <v>2571</v>
      </c>
      <c r="D69" s="275">
        <f>SUM(D48:D68)</f>
        <v>4629</v>
      </c>
      <c r="E69" s="275">
        <f>SUM(E48:E63)</f>
        <v>0</v>
      </c>
      <c r="F69" s="275">
        <f>SUM(F48:F63)</f>
        <v>0</v>
      </c>
      <c r="G69" s="275">
        <f>SUM(G48:G63)</f>
        <v>0</v>
      </c>
      <c r="H69" s="275">
        <f>SUM(H48:H64)</f>
        <v>0</v>
      </c>
      <c r="K69" s="346" t="s">
        <v>1292</v>
      </c>
      <c r="L69" s="346"/>
      <c r="M69" s="274">
        <f>M61-M67</f>
        <v>268</v>
      </c>
    </row>
    <row r="70" spans="1:13" x14ac:dyDescent="0.25">
      <c r="A70" s="273" t="s">
        <v>1270</v>
      </c>
      <c r="B70" s="273">
        <f>B69*2</f>
        <v>13366</v>
      </c>
      <c r="C70" s="273">
        <f t="shared" ref="C70:H70" si="4">C69*2</f>
        <v>5142</v>
      </c>
      <c r="D70" s="273">
        <f t="shared" si="4"/>
        <v>9258</v>
      </c>
      <c r="E70" s="273">
        <f t="shared" si="4"/>
        <v>0</v>
      </c>
      <c r="F70" s="273">
        <f t="shared" si="4"/>
        <v>0</v>
      </c>
      <c r="G70" s="273">
        <f t="shared" si="4"/>
        <v>0</v>
      </c>
      <c r="H70" s="273">
        <f t="shared" si="4"/>
        <v>0</v>
      </c>
      <c r="K70" s="346" t="s">
        <v>1290</v>
      </c>
      <c r="L70" s="346"/>
      <c r="M70" s="279">
        <f>M69/21</f>
        <v>12.761904761904763</v>
      </c>
    </row>
    <row r="71" spans="1:13" x14ac:dyDescent="0.25">
      <c r="K71" s="345" t="s">
        <v>1294</v>
      </c>
      <c r="L71" s="345"/>
      <c r="M71" s="280">
        <f>M70/2</f>
        <v>6.3809523809523814</v>
      </c>
    </row>
    <row r="72" spans="1:13" x14ac:dyDescent="0.25">
      <c r="K72" s="346" t="s">
        <v>1293</v>
      </c>
      <c r="L72" s="346"/>
      <c r="M72" s="274">
        <v>3</v>
      </c>
    </row>
    <row r="74" spans="1:13" x14ac:dyDescent="0.25">
      <c r="K74" s="346" t="s">
        <v>1300</v>
      </c>
      <c r="L74" s="346"/>
      <c r="M74" s="274">
        <v>407</v>
      </c>
    </row>
    <row r="75" spans="1:13" x14ac:dyDescent="0.25">
      <c r="A75" s="273" t="s">
        <v>1226</v>
      </c>
      <c r="B75" s="273" t="s">
        <v>1295</v>
      </c>
      <c r="C75" s="273"/>
      <c r="D75" s="273"/>
      <c r="E75" s="273"/>
      <c r="F75" s="273"/>
      <c r="G75" s="273"/>
      <c r="H75" s="273"/>
      <c r="K75" s="346"/>
      <c r="L75" s="346"/>
      <c r="M75" s="274"/>
    </row>
    <row r="76" spans="1:13" x14ac:dyDescent="0.25">
      <c r="A76" s="274" t="s">
        <v>1266</v>
      </c>
      <c r="B76" s="274">
        <v>1200</v>
      </c>
      <c r="C76" s="274"/>
      <c r="D76" s="274"/>
      <c r="E76" s="274"/>
      <c r="F76" s="274"/>
      <c r="G76" s="274"/>
      <c r="H76" s="274"/>
      <c r="K76" s="346" t="s">
        <v>1286</v>
      </c>
      <c r="L76" s="346"/>
      <c r="M76" s="274">
        <v>52</v>
      </c>
    </row>
    <row r="77" spans="1:13" x14ac:dyDescent="0.25">
      <c r="A77" s="274" t="s">
        <v>1267</v>
      </c>
      <c r="B77" s="274">
        <v>1200</v>
      </c>
      <c r="C77" s="274"/>
      <c r="D77" s="274"/>
      <c r="E77" s="274"/>
      <c r="F77" s="274"/>
      <c r="G77" s="274"/>
      <c r="H77" s="274"/>
      <c r="K77" s="278" t="s">
        <v>1287</v>
      </c>
      <c r="L77" s="278"/>
      <c r="M77" s="278"/>
    </row>
    <row r="78" spans="1:13" x14ac:dyDescent="0.25">
      <c r="A78" s="274" t="s">
        <v>1274</v>
      </c>
      <c r="B78" s="274">
        <v>1200</v>
      </c>
      <c r="C78" s="274"/>
      <c r="D78" s="274"/>
      <c r="E78" s="274"/>
      <c r="F78" s="274"/>
      <c r="G78" s="274"/>
      <c r="H78" s="274"/>
      <c r="K78" s="278" t="s">
        <v>1288</v>
      </c>
      <c r="L78" s="278"/>
      <c r="M78" s="278"/>
    </row>
    <row r="79" spans="1:13" x14ac:dyDescent="0.25">
      <c r="A79" s="274" t="s">
        <v>1282</v>
      </c>
      <c r="B79" s="274">
        <v>1200</v>
      </c>
      <c r="C79" s="274"/>
      <c r="D79" s="274"/>
      <c r="E79" s="274"/>
      <c r="F79" s="274"/>
      <c r="G79" s="274"/>
      <c r="H79" s="274"/>
      <c r="K79" s="346" t="s">
        <v>1289</v>
      </c>
      <c r="L79" s="346"/>
      <c r="M79" s="274">
        <v>17</v>
      </c>
    </row>
    <row r="80" spans="1:13" x14ac:dyDescent="0.25">
      <c r="A80" s="274" t="s">
        <v>1283</v>
      </c>
      <c r="B80" s="274">
        <v>1429</v>
      </c>
      <c r="C80" s="274"/>
      <c r="D80" s="274"/>
      <c r="E80" s="274"/>
      <c r="F80" s="274"/>
      <c r="G80" s="274"/>
      <c r="H80" s="274"/>
      <c r="K80" s="346" t="s">
        <v>1291</v>
      </c>
      <c r="L80" s="346"/>
      <c r="M80" s="274">
        <f>SUM(M76:M79)</f>
        <v>69</v>
      </c>
    </row>
    <row r="81" spans="1:18" x14ac:dyDescent="0.25">
      <c r="A81" s="274" t="s">
        <v>1284</v>
      </c>
      <c r="B81" s="274">
        <v>1429</v>
      </c>
      <c r="C81" s="274"/>
      <c r="D81" s="274"/>
      <c r="E81" s="274"/>
      <c r="F81" s="274"/>
      <c r="G81" s="274"/>
      <c r="H81" s="274"/>
      <c r="K81" s="351"/>
      <c r="L81" s="352"/>
      <c r="M81" s="274"/>
    </row>
    <row r="82" spans="1:18" x14ac:dyDescent="0.25">
      <c r="A82" s="274" t="s">
        <v>1285</v>
      </c>
      <c r="B82" s="274">
        <v>1429</v>
      </c>
      <c r="C82" s="274"/>
      <c r="D82" s="274"/>
      <c r="E82" s="274"/>
      <c r="F82" s="274"/>
      <c r="G82" s="274"/>
      <c r="H82" s="274"/>
      <c r="K82" s="346" t="s">
        <v>1292</v>
      </c>
      <c r="L82" s="346"/>
      <c r="M82" s="274">
        <f>M74-M80</f>
        <v>338</v>
      </c>
    </row>
    <row r="83" spans="1:18" x14ac:dyDescent="0.25">
      <c r="A83" s="274" t="s">
        <v>1297</v>
      </c>
      <c r="B83" s="274">
        <v>1429</v>
      </c>
      <c r="C83" s="274"/>
      <c r="D83" s="274"/>
      <c r="E83" s="274"/>
      <c r="F83" s="274"/>
      <c r="G83" s="274"/>
      <c r="H83" s="274"/>
      <c r="K83" s="346" t="s">
        <v>1290</v>
      </c>
      <c r="L83" s="346"/>
      <c r="M83" s="279">
        <v>15</v>
      </c>
    </row>
    <row r="84" spans="1:18" x14ac:dyDescent="0.25">
      <c r="A84" s="274" t="s">
        <v>1298</v>
      </c>
      <c r="B84" s="274">
        <v>1429</v>
      </c>
      <c r="C84" s="274"/>
      <c r="D84" s="274"/>
      <c r="E84" s="274"/>
      <c r="F84" s="274"/>
      <c r="G84" s="274"/>
      <c r="H84" s="274"/>
      <c r="K84" s="345" t="s">
        <v>1294</v>
      </c>
      <c r="L84" s="345"/>
      <c r="M84" s="280">
        <f>M83/2</f>
        <v>7.5</v>
      </c>
    </row>
    <row r="85" spans="1:18" x14ac:dyDescent="0.25">
      <c r="A85" s="274" t="s">
        <v>1299</v>
      </c>
      <c r="B85" s="274">
        <v>1500</v>
      </c>
      <c r="C85" s="274"/>
      <c r="D85" s="274"/>
      <c r="E85" s="274"/>
      <c r="F85" s="274"/>
      <c r="G85" s="274"/>
      <c r="H85" s="274"/>
      <c r="K85" s="346" t="s">
        <v>1293</v>
      </c>
      <c r="L85" s="346"/>
      <c r="M85" s="274">
        <v>3</v>
      </c>
    </row>
    <row r="86" spans="1:18" x14ac:dyDescent="0.25">
      <c r="A86" s="275" t="s">
        <v>1269</v>
      </c>
      <c r="B86" s="275">
        <f t="shared" ref="B86:H86" si="5">SUM(B76:B85)</f>
        <v>13445</v>
      </c>
      <c r="C86" s="275">
        <f t="shared" si="5"/>
        <v>0</v>
      </c>
      <c r="D86" s="275">
        <f t="shared" si="5"/>
        <v>0</v>
      </c>
      <c r="E86" s="275">
        <f t="shared" si="5"/>
        <v>0</v>
      </c>
      <c r="F86" s="275">
        <f t="shared" si="5"/>
        <v>0</v>
      </c>
      <c r="G86" s="275">
        <f t="shared" si="5"/>
        <v>0</v>
      </c>
      <c r="H86" s="275">
        <f t="shared" si="5"/>
        <v>0</v>
      </c>
    </row>
    <row r="87" spans="1:18" x14ac:dyDescent="0.25">
      <c r="A87" s="273" t="s">
        <v>1270</v>
      </c>
      <c r="B87" s="273">
        <f>B86*2</f>
        <v>26890</v>
      </c>
      <c r="C87" s="273">
        <f t="shared" ref="C87:H87" si="6">C86*2</f>
        <v>0</v>
      </c>
      <c r="D87" s="273">
        <f t="shared" si="6"/>
        <v>0</v>
      </c>
      <c r="E87" s="273">
        <f t="shared" si="6"/>
        <v>0</v>
      </c>
      <c r="F87" s="273">
        <f t="shared" si="6"/>
        <v>0</v>
      </c>
      <c r="G87" s="273">
        <f t="shared" si="6"/>
        <v>0</v>
      </c>
      <c r="H87" s="273">
        <f t="shared" si="6"/>
        <v>0</v>
      </c>
    </row>
    <row r="91" spans="1:18" x14ac:dyDescent="0.25">
      <c r="K91" s="283" t="s">
        <v>1302</v>
      </c>
    </row>
    <row r="92" spans="1:18" x14ac:dyDescent="0.25">
      <c r="K92" s="346" t="s">
        <v>1300</v>
      </c>
      <c r="L92" s="346"/>
      <c r="M92" s="274">
        <v>840</v>
      </c>
    </row>
    <row r="93" spans="1:18" x14ac:dyDescent="0.25">
      <c r="K93" s="346"/>
      <c r="L93" s="346"/>
      <c r="M93" s="274"/>
    </row>
    <row r="94" spans="1:18" x14ac:dyDescent="0.25">
      <c r="K94" s="346" t="s">
        <v>1286</v>
      </c>
      <c r="L94" s="346"/>
      <c r="M94" s="274">
        <f>52*2.3</f>
        <v>119.6</v>
      </c>
    </row>
    <row r="95" spans="1:18" x14ac:dyDescent="0.25">
      <c r="K95" s="278" t="s">
        <v>1287</v>
      </c>
      <c r="L95" s="278"/>
      <c r="M95" s="278"/>
    </row>
    <row r="96" spans="1:18" x14ac:dyDescent="0.25">
      <c r="K96" s="278" t="s">
        <v>1288</v>
      </c>
      <c r="L96" s="278"/>
      <c r="M96" s="278"/>
      <c r="N96">
        <v>2022</v>
      </c>
      <c r="O96">
        <v>2023</v>
      </c>
      <c r="P96">
        <v>2024</v>
      </c>
      <c r="Q96">
        <v>2025</v>
      </c>
      <c r="R96" t="s">
        <v>19</v>
      </c>
    </row>
    <row r="97" spans="11:25" x14ac:dyDescent="0.25">
      <c r="K97" s="346" t="s">
        <v>1289</v>
      </c>
      <c r="L97" s="346"/>
      <c r="M97" s="274">
        <v>42</v>
      </c>
      <c r="O97">
        <v>20</v>
      </c>
      <c r="P97">
        <v>18</v>
      </c>
      <c r="Q97">
        <v>4</v>
      </c>
      <c r="R97">
        <f>N97+O97+P97+Q97</f>
        <v>42</v>
      </c>
    </row>
    <row r="98" spans="11:25" x14ac:dyDescent="0.25">
      <c r="K98" s="346" t="s">
        <v>1291</v>
      </c>
      <c r="L98" s="346"/>
      <c r="M98" s="274">
        <f>SUM(M94:M97)</f>
        <v>161.6</v>
      </c>
    </row>
    <row r="99" spans="11:25" x14ac:dyDescent="0.25">
      <c r="K99" s="351"/>
      <c r="L99" s="352"/>
      <c r="M99" s="274"/>
    </row>
    <row r="100" spans="11:25" x14ac:dyDescent="0.25">
      <c r="K100" s="346" t="s">
        <v>1292</v>
      </c>
      <c r="L100" s="346"/>
      <c r="M100" s="274">
        <f>M92-M98</f>
        <v>678.4</v>
      </c>
    </row>
    <row r="101" spans="11:25" x14ac:dyDescent="0.25">
      <c r="K101" s="346" t="s">
        <v>1290</v>
      </c>
      <c r="L101" s="346"/>
      <c r="M101" s="279">
        <f>M100/21</f>
        <v>32.304761904761904</v>
      </c>
    </row>
    <row r="102" spans="11:25" x14ac:dyDescent="0.25">
      <c r="K102" s="345" t="s">
        <v>1294</v>
      </c>
      <c r="L102" s="345"/>
      <c r="M102" s="280">
        <f>M101/2</f>
        <v>16.152380952380952</v>
      </c>
    </row>
    <row r="103" spans="11:25" x14ac:dyDescent="0.25">
      <c r="K103" s="346" t="s">
        <v>1293</v>
      </c>
      <c r="L103" s="346"/>
      <c r="M103" s="274">
        <v>6</v>
      </c>
    </row>
    <row r="104" spans="11:25" x14ac:dyDescent="0.25">
      <c r="K104" s="284"/>
      <c r="L104" s="284"/>
      <c r="M104" s="284"/>
    </row>
    <row r="105" spans="11:25" x14ac:dyDescent="0.25">
      <c r="K105" s="283" t="s">
        <v>1303</v>
      </c>
    </row>
    <row r="106" spans="11:25" x14ac:dyDescent="0.25">
      <c r="K106" s="346" t="s">
        <v>1300</v>
      </c>
      <c r="L106" s="346"/>
      <c r="M106" s="274">
        <v>2453</v>
      </c>
    </row>
    <row r="107" spans="11:25" x14ac:dyDescent="0.25">
      <c r="K107" s="346"/>
      <c r="L107" s="346"/>
      <c r="M107" s="274"/>
    </row>
    <row r="108" spans="11:25" x14ac:dyDescent="0.25">
      <c r="K108" s="346" t="s">
        <v>1286</v>
      </c>
      <c r="L108" s="346"/>
      <c r="M108" s="274">
        <f>52*6.8</f>
        <v>353.59999999999997</v>
      </c>
    </row>
    <row r="109" spans="11:25" x14ac:dyDescent="0.25">
      <c r="K109" s="278" t="s">
        <v>1287</v>
      </c>
      <c r="L109" s="278"/>
      <c r="M109" s="278"/>
    </row>
    <row r="110" spans="11:25" x14ac:dyDescent="0.25">
      <c r="K110" s="278" t="s">
        <v>1288</v>
      </c>
      <c r="L110" s="278"/>
      <c r="M110" s="278"/>
      <c r="N110">
        <v>2017</v>
      </c>
      <c r="O110">
        <v>2018</v>
      </c>
      <c r="P110">
        <v>2019</v>
      </c>
      <c r="Q110">
        <v>2020</v>
      </c>
      <c r="R110">
        <v>2021</v>
      </c>
      <c r="S110">
        <v>2022</v>
      </c>
      <c r="T110">
        <v>2023</v>
      </c>
      <c r="U110">
        <v>2024</v>
      </c>
      <c r="V110">
        <v>2025</v>
      </c>
      <c r="W110" t="s">
        <v>19</v>
      </c>
      <c r="X110" t="s">
        <v>1304</v>
      </c>
      <c r="Y110" t="s">
        <v>19</v>
      </c>
    </row>
    <row r="111" spans="11:25" x14ac:dyDescent="0.25">
      <c r="K111" s="346" t="s">
        <v>1289</v>
      </c>
      <c r="L111" s="346"/>
      <c r="M111" s="274">
        <v>59</v>
      </c>
      <c r="R111">
        <v>8</v>
      </c>
      <c r="S111">
        <v>9</v>
      </c>
      <c r="T111">
        <v>18</v>
      </c>
      <c r="U111">
        <v>18</v>
      </c>
      <c r="V111">
        <v>6</v>
      </c>
      <c r="W111">
        <f>N111+O111+P111+Q111+R111+S111+T111+U111+V111</f>
        <v>59</v>
      </c>
      <c r="X111">
        <f>W111/8</f>
        <v>7.375</v>
      </c>
      <c r="Y111">
        <f>X111*8</f>
        <v>59</v>
      </c>
    </row>
    <row r="112" spans="11:25" x14ac:dyDescent="0.25">
      <c r="K112" s="346" t="s">
        <v>1291</v>
      </c>
      <c r="L112" s="346"/>
      <c r="M112" s="274">
        <f>SUM(M108:M111)</f>
        <v>412.59999999999997</v>
      </c>
    </row>
    <row r="113" spans="11:16" x14ac:dyDescent="0.25">
      <c r="K113" s="351"/>
      <c r="L113" s="352"/>
      <c r="M113" s="274"/>
    </row>
    <row r="114" spans="11:16" x14ac:dyDescent="0.25">
      <c r="K114" s="346" t="s">
        <v>1292</v>
      </c>
      <c r="L114" s="346"/>
      <c r="M114" s="274">
        <f>M106-M112</f>
        <v>2040.4</v>
      </c>
    </row>
    <row r="115" spans="11:16" x14ac:dyDescent="0.25">
      <c r="K115" s="346" t="s">
        <v>1290</v>
      </c>
      <c r="L115" s="346"/>
      <c r="M115" s="279">
        <f>M114/21</f>
        <v>97.161904761904765</v>
      </c>
    </row>
    <row r="116" spans="11:16" x14ac:dyDescent="0.25">
      <c r="K116" s="345" t="s">
        <v>1294</v>
      </c>
      <c r="L116" s="345"/>
      <c r="M116" s="280">
        <f>M115/2</f>
        <v>48.580952380952382</v>
      </c>
    </row>
    <row r="117" spans="11:16" x14ac:dyDescent="0.25">
      <c r="K117" s="346" t="s">
        <v>1293</v>
      </c>
      <c r="L117" s="346"/>
      <c r="M117" s="274">
        <v>0</v>
      </c>
    </row>
    <row r="121" spans="11:16" x14ac:dyDescent="0.25">
      <c r="K121" s="283" t="s">
        <v>1308</v>
      </c>
    </row>
    <row r="122" spans="11:16" x14ac:dyDescent="0.25">
      <c r="K122" s="346" t="s">
        <v>1300</v>
      </c>
      <c r="L122" s="346"/>
      <c r="M122" s="274">
        <v>596</v>
      </c>
    </row>
    <row r="123" spans="11:16" x14ac:dyDescent="0.25">
      <c r="K123" s="346"/>
      <c r="L123" s="346"/>
      <c r="M123" s="274"/>
    </row>
    <row r="124" spans="11:16" x14ac:dyDescent="0.25">
      <c r="K124" s="346" t="s">
        <v>1286</v>
      </c>
      <c r="L124" s="346"/>
      <c r="M124" s="274">
        <v>85</v>
      </c>
    </row>
    <row r="125" spans="11:16" x14ac:dyDescent="0.25">
      <c r="K125" s="278" t="s">
        <v>1287</v>
      </c>
      <c r="L125" s="278"/>
      <c r="M125" s="278"/>
    </row>
    <row r="126" spans="11:16" x14ac:dyDescent="0.25">
      <c r="K126" s="278" t="s">
        <v>1288</v>
      </c>
      <c r="L126" s="278"/>
      <c r="M126" s="278"/>
      <c r="N126">
        <v>2025</v>
      </c>
      <c r="O126">
        <v>2024</v>
      </c>
      <c r="P126">
        <v>2023</v>
      </c>
    </row>
    <row r="127" spans="11:16" x14ac:dyDescent="0.25">
      <c r="K127" s="344" t="s">
        <v>1289</v>
      </c>
      <c r="L127" s="344"/>
      <c r="M127" s="285">
        <v>33</v>
      </c>
      <c r="N127">
        <f>11+7</f>
        <v>18</v>
      </c>
      <c r="O127">
        <v>12</v>
      </c>
      <c r="P127">
        <v>3</v>
      </c>
    </row>
    <row r="128" spans="11:16" x14ac:dyDescent="0.25">
      <c r="K128" s="344" t="s">
        <v>1291</v>
      </c>
      <c r="L128" s="344"/>
      <c r="M128" s="285">
        <f>SUM(M124:M127)</f>
        <v>118</v>
      </c>
    </row>
    <row r="129" spans="11:16" x14ac:dyDescent="0.25">
      <c r="K129" s="349"/>
      <c r="L129" s="350"/>
      <c r="M129" s="285"/>
    </row>
    <row r="130" spans="11:16" x14ac:dyDescent="0.25">
      <c r="K130" s="344" t="s">
        <v>1292</v>
      </c>
      <c r="L130" s="344"/>
      <c r="M130" s="285">
        <f>M122-M128</f>
        <v>478</v>
      </c>
    </row>
    <row r="131" spans="11:16" x14ac:dyDescent="0.25">
      <c r="K131" s="344" t="s">
        <v>1290</v>
      </c>
      <c r="L131" s="344"/>
      <c r="M131" s="286">
        <f>M130/21</f>
        <v>22.761904761904763</v>
      </c>
    </row>
    <row r="132" spans="11:16" x14ac:dyDescent="0.25">
      <c r="K132" s="345" t="s">
        <v>1294</v>
      </c>
      <c r="L132" s="345"/>
      <c r="M132" s="280">
        <f>M131/2</f>
        <v>11.380952380952381</v>
      </c>
    </row>
    <row r="133" spans="11:16" x14ac:dyDescent="0.25">
      <c r="K133" s="346" t="s">
        <v>1293</v>
      </c>
      <c r="L133" s="346"/>
      <c r="M133" s="274">
        <v>0</v>
      </c>
    </row>
    <row r="136" spans="11:16" x14ac:dyDescent="0.25">
      <c r="K136" s="283" t="s">
        <v>1313</v>
      </c>
    </row>
    <row r="137" spans="11:16" x14ac:dyDescent="0.25">
      <c r="K137" s="346" t="s">
        <v>1300</v>
      </c>
      <c r="L137" s="346"/>
      <c r="M137" s="274">
        <v>730</v>
      </c>
    </row>
    <row r="138" spans="11:16" x14ac:dyDescent="0.25">
      <c r="K138" s="346"/>
      <c r="L138" s="346"/>
      <c r="M138" s="274"/>
    </row>
    <row r="139" spans="11:16" x14ac:dyDescent="0.25">
      <c r="K139" s="346" t="s">
        <v>1286</v>
      </c>
      <c r="L139" s="346"/>
      <c r="M139" s="274">
        <v>104</v>
      </c>
    </row>
    <row r="140" spans="11:16" x14ac:dyDescent="0.25">
      <c r="K140" s="278" t="s">
        <v>1287</v>
      </c>
      <c r="L140" s="278"/>
      <c r="M140" s="278"/>
    </row>
    <row r="141" spans="11:16" x14ac:dyDescent="0.25">
      <c r="K141" s="278" t="s">
        <v>1288</v>
      </c>
      <c r="L141" s="278"/>
      <c r="M141" s="278"/>
      <c r="N141">
        <v>2025</v>
      </c>
      <c r="O141">
        <v>2024</v>
      </c>
      <c r="P141">
        <v>2023</v>
      </c>
    </row>
    <row r="142" spans="11:16" x14ac:dyDescent="0.25">
      <c r="K142" s="344" t="s">
        <v>1289</v>
      </c>
      <c r="L142" s="344"/>
      <c r="M142" s="285">
        <v>69</v>
      </c>
      <c r="N142">
        <v>9</v>
      </c>
      <c r="O142">
        <v>35</v>
      </c>
      <c r="P142">
        <v>25</v>
      </c>
    </row>
    <row r="143" spans="11:16" x14ac:dyDescent="0.25">
      <c r="K143" s="344" t="s">
        <v>1291</v>
      </c>
      <c r="L143" s="344"/>
      <c r="M143" s="285">
        <f>SUM(M139:M142)</f>
        <v>173</v>
      </c>
    </row>
    <row r="144" spans="11:16" x14ac:dyDescent="0.25">
      <c r="K144" s="349"/>
      <c r="L144" s="350"/>
      <c r="M144" s="285"/>
    </row>
    <row r="145" spans="11:13" x14ac:dyDescent="0.25">
      <c r="K145" s="344" t="s">
        <v>1292</v>
      </c>
      <c r="L145" s="344"/>
      <c r="M145" s="285">
        <f>M137-M143</f>
        <v>557</v>
      </c>
    </row>
    <row r="146" spans="11:13" x14ac:dyDescent="0.25">
      <c r="K146" s="344" t="s">
        <v>1290</v>
      </c>
      <c r="L146" s="344"/>
      <c r="M146" s="286">
        <f>M145/21</f>
        <v>26.523809523809526</v>
      </c>
    </row>
    <row r="147" spans="11:13" x14ac:dyDescent="0.25">
      <c r="K147" s="345" t="s">
        <v>1294</v>
      </c>
      <c r="L147" s="345"/>
      <c r="M147" s="280">
        <f>M146/2</f>
        <v>13.261904761904763</v>
      </c>
    </row>
    <row r="148" spans="11:13" x14ac:dyDescent="0.25">
      <c r="K148" s="346" t="s">
        <v>1293</v>
      </c>
      <c r="L148" s="346"/>
      <c r="M148" s="274">
        <v>0</v>
      </c>
    </row>
    <row r="150" spans="11:13" x14ac:dyDescent="0.25">
      <c r="K150" s="283" t="s">
        <v>1315</v>
      </c>
    </row>
    <row r="151" spans="11:13" x14ac:dyDescent="0.25">
      <c r="K151" s="346" t="s">
        <v>1300</v>
      </c>
      <c r="L151" s="346"/>
      <c r="M151" s="274">
        <v>365</v>
      </c>
    </row>
    <row r="152" spans="11:13" x14ac:dyDescent="0.25">
      <c r="K152" s="346"/>
      <c r="L152" s="346"/>
      <c r="M152" s="274"/>
    </row>
    <row r="153" spans="11:13" x14ac:dyDescent="0.25">
      <c r="K153" s="346" t="s">
        <v>1286</v>
      </c>
      <c r="L153" s="346"/>
      <c r="M153" s="274">
        <v>52</v>
      </c>
    </row>
    <row r="154" spans="11:13" x14ac:dyDescent="0.25">
      <c r="K154" s="278" t="s">
        <v>1287</v>
      </c>
      <c r="L154" s="278"/>
      <c r="M154" s="278">
        <v>14</v>
      </c>
    </row>
    <row r="155" spans="11:13" x14ac:dyDescent="0.25">
      <c r="K155" s="278" t="s">
        <v>1288</v>
      </c>
      <c r="L155" s="278"/>
      <c r="M155" s="278">
        <v>11</v>
      </c>
    </row>
    <row r="156" spans="11:13" x14ac:dyDescent="0.25">
      <c r="K156" s="344" t="s">
        <v>1289</v>
      </c>
      <c r="L156" s="344"/>
      <c r="M156" s="285">
        <v>17</v>
      </c>
    </row>
    <row r="157" spans="11:13" x14ac:dyDescent="0.25">
      <c r="K157" s="344" t="s">
        <v>1291</v>
      </c>
      <c r="L157" s="344"/>
      <c r="M157" s="285">
        <f>SUM(M153:M156)</f>
        <v>94</v>
      </c>
    </row>
    <row r="158" spans="11:13" x14ac:dyDescent="0.25">
      <c r="K158" s="349"/>
      <c r="L158" s="350"/>
      <c r="M158" s="285"/>
    </row>
    <row r="159" spans="11:13" x14ac:dyDescent="0.25">
      <c r="K159" s="344" t="s">
        <v>1292</v>
      </c>
      <c r="L159" s="344"/>
      <c r="M159" s="285">
        <f>M151-M157</f>
        <v>271</v>
      </c>
    </row>
    <row r="160" spans="11:13" x14ac:dyDescent="0.25">
      <c r="K160" s="344" t="s">
        <v>1290</v>
      </c>
      <c r="L160" s="344"/>
      <c r="M160" s="286">
        <f>M159/21</f>
        <v>12.904761904761905</v>
      </c>
    </row>
    <row r="161" spans="11:13" x14ac:dyDescent="0.25">
      <c r="K161" s="345" t="s">
        <v>1294</v>
      </c>
      <c r="L161" s="345"/>
      <c r="M161" s="280">
        <f>M160/2</f>
        <v>6.4523809523809526</v>
      </c>
    </row>
    <row r="162" spans="11:13" x14ac:dyDescent="0.25">
      <c r="K162" s="346" t="s">
        <v>1293</v>
      </c>
      <c r="L162" s="346"/>
      <c r="M162" s="274">
        <v>0</v>
      </c>
    </row>
    <row r="166" spans="11:13" x14ac:dyDescent="0.25">
      <c r="K166" s="283" t="s">
        <v>1320</v>
      </c>
    </row>
    <row r="167" spans="11:13" x14ac:dyDescent="0.25">
      <c r="K167" s="346" t="s">
        <v>1300</v>
      </c>
      <c r="L167" s="346"/>
      <c r="M167" s="274">
        <v>365</v>
      </c>
    </row>
    <row r="168" spans="11:13" x14ac:dyDescent="0.25">
      <c r="K168" s="346"/>
      <c r="L168" s="346"/>
      <c r="M168" s="274"/>
    </row>
    <row r="169" spans="11:13" x14ac:dyDescent="0.25">
      <c r="K169" s="346" t="s">
        <v>1286</v>
      </c>
      <c r="L169" s="346"/>
      <c r="M169" s="274">
        <v>52</v>
      </c>
    </row>
    <row r="170" spans="11:13" x14ac:dyDescent="0.25">
      <c r="K170" s="278" t="s">
        <v>1287</v>
      </c>
      <c r="L170" s="278"/>
      <c r="M170" s="291">
        <v>14</v>
      </c>
    </row>
    <row r="171" spans="11:13" x14ac:dyDescent="0.25">
      <c r="K171" s="278" t="s">
        <v>1288</v>
      </c>
      <c r="L171" s="278"/>
      <c r="M171" s="291">
        <v>11</v>
      </c>
    </row>
    <row r="172" spans="11:13" x14ac:dyDescent="0.25">
      <c r="K172" s="344" t="s">
        <v>1289</v>
      </c>
      <c r="L172" s="344"/>
      <c r="M172" s="285">
        <v>19</v>
      </c>
    </row>
    <row r="173" spans="11:13" x14ac:dyDescent="0.25">
      <c r="K173" s="347" t="s">
        <v>1321</v>
      </c>
      <c r="L173" s="348"/>
      <c r="M173" s="285">
        <v>3</v>
      </c>
    </row>
    <row r="174" spans="11:13" x14ac:dyDescent="0.25">
      <c r="K174" s="347" t="s">
        <v>1322</v>
      </c>
      <c r="L174" s="348"/>
      <c r="M174" s="285">
        <v>5</v>
      </c>
    </row>
    <row r="175" spans="11:13" x14ac:dyDescent="0.25">
      <c r="K175" s="344" t="s">
        <v>1291</v>
      </c>
      <c r="L175" s="344"/>
      <c r="M175" s="285">
        <f>SUM(M169:M174)</f>
        <v>104</v>
      </c>
    </row>
    <row r="176" spans="11:13" x14ac:dyDescent="0.25">
      <c r="K176" s="349"/>
      <c r="L176" s="350"/>
      <c r="M176" s="285"/>
    </row>
    <row r="177" spans="2:21" x14ac:dyDescent="0.25">
      <c r="K177" s="344" t="s">
        <v>1292</v>
      </c>
      <c r="L177" s="344"/>
      <c r="M177" s="285">
        <f>M167-M175</f>
        <v>261</v>
      </c>
    </row>
    <row r="178" spans="2:21" x14ac:dyDescent="0.25">
      <c r="K178" s="344" t="s">
        <v>1290</v>
      </c>
      <c r="L178" s="344"/>
      <c r="M178" s="286">
        <f>M177/21</f>
        <v>12.428571428571429</v>
      </c>
    </row>
    <row r="179" spans="2:21" x14ac:dyDescent="0.25">
      <c r="K179" s="345" t="s">
        <v>1294</v>
      </c>
      <c r="L179" s="345"/>
      <c r="M179" s="280">
        <f>M178/2</f>
        <v>6.2142857142857144</v>
      </c>
    </row>
    <row r="180" spans="2:21" x14ac:dyDescent="0.25">
      <c r="K180" s="346" t="s">
        <v>1293</v>
      </c>
      <c r="L180" s="346"/>
      <c r="M180" s="274">
        <v>0</v>
      </c>
    </row>
    <row r="183" spans="2:21" x14ac:dyDescent="0.25">
      <c r="K183" s="283" t="s">
        <v>1323</v>
      </c>
      <c r="O183" s="283" t="s">
        <v>1324</v>
      </c>
      <c r="S183" s="283" t="s">
        <v>1327</v>
      </c>
    </row>
    <row r="184" spans="2:21" x14ac:dyDescent="0.25">
      <c r="B184" s="283" t="s">
        <v>1326</v>
      </c>
      <c r="F184" s="283" t="s">
        <v>1325</v>
      </c>
      <c r="K184" s="346" t="s">
        <v>1300</v>
      </c>
      <c r="L184" s="346"/>
      <c r="M184" s="274">
        <v>365</v>
      </c>
      <c r="O184" s="346" t="s">
        <v>1300</v>
      </c>
      <c r="P184" s="346"/>
      <c r="Q184" s="274">
        <v>365</v>
      </c>
      <c r="S184" s="346" t="s">
        <v>1300</v>
      </c>
      <c r="T184" s="346"/>
      <c r="U184" s="274">
        <v>365</v>
      </c>
    </row>
    <row r="185" spans="2:21" x14ac:dyDescent="0.25">
      <c r="B185" s="346" t="s">
        <v>1300</v>
      </c>
      <c r="C185" s="346"/>
      <c r="D185" s="274">
        <v>365</v>
      </c>
      <c r="F185" s="346" t="s">
        <v>1300</v>
      </c>
      <c r="G185" s="346"/>
      <c r="H185" s="274">
        <v>365</v>
      </c>
      <c r="K185" s="346"/>
      <c r="L185" s="346"/>
      <c r="M185" s="274"/>
      <c r="O185" s="346"/>
      <c r="P185" s="346"/>
      <c r="Q185" s="274"/>
      <c r="S185" s="346"/>
      <c r="T185" s="346"/>
      <c r="U185" s="274"/>
    </row>
    <row r="186" spans="2:21" x14ac:dyDescent="0.25">
      <c r="B186" s="346"/>
      <c r="C186" s="346"/>
      <c r="D186" s="274"/>
      <c r="F186" s="346"/>
      <c r="G186" s="346"/>
      <c r="H186" s="274"/>
      <c r="K186" s="346" t="s">
        <v>1286</v>
      </c>
      <c r="L186" s="346"/>
      <c r="M186" s="274">
        <v>52</v>
      </c>
      <c r="O186" s="346" t="s">
        <v>1286</v>
      </c>
      <c r="P186" s="346"/>
      <c r="Q186" s="274">
        <v>52</v>
      </c>
      <c r="S186" s="346" t="s">
        <v>1286</v>
      </c>
      <c r="T186" s="346"/>
      <c r="U186" s="274">
        <v>52</v>
      </c>
    </row>
    <row r="187" spans="2:21" x14ac:dyDescent="0.25">
      <c r="B187" s="346" t="s">
        <v>1286</v>
      </c>
      <c r="C187" s="346"/>
      <c r="D187" s="274">
        <v>52</v>
      </c>
      <c r="F187" s="346" t="s">
        <v>1286</v>
      </c>
      <c r="G187" s="346"/>
      <c r="H187" s="274">
        <v>52</v>
      </c>
      <c r="K187" s="278" t="s">
        <v>1287</v>
      </c>
      <c r="L187" s="278"/>
      <c r="M187" s="291">
        <v>14</v>
      </c>
      <c r="O187" s="278" t="s">
        <v>1287</v>
      </c>
      <c r="P187" s="278"/>
      <c r="Q187" s="291">
        <v>14</v>
      </c>
      <c r="S187" s="278" t="s">
        <v>1287</v>
      </c>
      <c r="T187" s="278"/>
      <c r="U187" s="291">
        <v>14</v>
      </c>
    </row>
    <row r="188" spans="2:21" x14ac:dyDescent="0.25">
      <c r="B188" s="278" t="s">
        <v>1287</v>
      </c>
      <c r="C188" s="278"/>
      <c r="D188" s="291">
        <v>14</v>
      </c>
      <c r="F188" s="278" t="s">
        <v>1287</v>
      </c>
      <c r="G188" s="278"/>
      <c r="H188" s="291">
        <v>14</v>
      </c>
      <c r="K188" s="278" t="s">
        <v>1288</v>
      </c>
      <c r="L188" s="278"/>
      <c r="M188" s="291">
        <v>11</v>
      </c>
      <c r="O188" s="278" t="s">
        <v>1288</v>
      </c>
      <c r="P188" s="278"/>
      <c r="Q188" s="291">
        <v>11</v>
      </c>
      <c r="S188" s="278" t="s">
        <v>1288</v>
      </c>
      <c r="T188" s="278"/>
      <c r="U188" s="291">
        <v>11</v>
      </c>
    </row>
    <row r="189" spans="2:21" x14ac:dyDescent="0.25">
      <c r="B189" s="278" t="s">
        <v>1288</v>
      </c>
      <c r="C189" s="278"/>
      <c r="D189" s="291">
        <v>11</v>
      </c>
      <c r="F189" s="278" t="s">
        <v>1288</v>
      </c>
      <c r="G189" s="278"/>
      <c r="H189" s="291">
        <v>11</v>
      </c>
      <c r="K189" s="344" t="s">
        <v>1289</v>
      </c>
      <c r="L189" s="344"/>
      <c r="M189" s="285">
        <v>19</v>
      </c>
      <c r="O189" s="344" t="s">
        <v>1289</v>
      </c>
      <c r="P189" s="344"/>
      <c r="Q189" s="285">
        <v>19</v>
      </c>
      <c r="S189" s="344" t="s">
        <v>1289</v>
      </c>
      <c r="T189" s="344"/>
      <c r="U189" s="285">
        <v>19</v>
      </c>
    </row>
    <row r="190" spans="2:21" x14ac:dyDescent="0.25">
      <c r="B190" s="344" t="s">
        <v>1289</v>
      </c>
      <c r="C190" s="344"/>
      <c r="D190" s="285">
        <v>19</v>
      </c>
      <c r="F190" s="344" t="s">
        <v>1289</v>
      </c>
      <c r="G190" s="344"/>
      <c r="H190" s="285">
        <v>19</v>
      </c>
      <c r="K190" s="347" t="s">
        <v>1321</v>
      </c>
      <c r="L190" s="348"/>
      <c r="M190" s="285"/>
      <c r="O190" s="347" t="s">
        <v>1321</v>
      </c>
      <c r="P190" s="348"/>
      <c r="Q190" s="285">
        <v>2</v>
      </c>
      <c r="S190" s="347" t="s">
        <v>1321</v>
      </c>
      <c r="T190" s="348"/>
      <c r="U190" s="285"/>
    </row>
    <row r="191" spans="2:21" x14ac:dyDescent="0.25">
      <c r="B191" s="347" t="s">
        <v>1321</v>
      </c>
      <c r="C191" s="348"/>
      <c r="D191" s="285"/>
      <c r="F191" s="347" t="s">
        <v>1321</v>
      </c>
      <c r="G191" s="348"/>
      <c r="H191" s="285">
        <v>3</v>
      </c>
      <c r="K191" s="347" t="s">
        <v>1322</v>
      </c>
      <c r="L191" s="348"/>
      <c r="M191" s="285"/>
      <c r="O191" s="347" t="s">
        <v>1322</v>
      </c>
      <c r="P191" s="348"/>
      <c r="Q191" s="285"/>
      <c r="S191" s="347" t="s">
        <v>1322</v>
      </c>
      <c r="T191" s="348"/>
      <c r="U191" s="285"/>
    </row>
    <row r="192" spans="2:21" x14ac:dyDescent="0.25">
      <c r="B192" s="347" t="s">
        <v>1322</v>
      </c>
      <c r="C192" s="348"/>
      <c r="D192" s="285"/>
      <c r="F192" s="347" t="s">
        <v>1322</v>
      </c>
      <c r="G192" s="348"/>
      <c r="H192" s="285"/>
      <c r="K192" s="344" t="s">
        <v>1291</v>
      </c>
      <c r="L192" s="344"/>
      <c r="M192" s="285">
        <f>SUM(M186:M191)</f>
        <v>96</v>
      </c>
      <c r="O192" s="344" t="s">
        <v>1291</v>
      </c>
      <c r="P192" s="344"/>
      <c r="Q192" s="285">
        <f>SUM(Q186:Q191)</f>
        <v>98</v>
      </c>
      <c r="S192" s="344" t="s">
        <v>1291</v>
      </c>
      <c r="T192" s="344"/>
      <c r="U192" s="285">
        <f>SUM(U186:U191)</f>
        <v>96</v>
      </c>
    </row>
    <row r="193" spans="2:21" x14ac:dyDescent="0.25">
      <c r="B193" s="344" t="s">
        <v>1291</v>
      </c>
      <c r="C193" s="344"/>
      <c r="D193" s="285">
        <f>SUM(D187:D192)</f>
        <v>96</v>
      </c>
      <c r="F193" s="344" t="s">
        <v>1291</v>
      </c>
      <c r="G193" s="344"/>
      <c r="H193" s="285">
        <f>SUM(H187:H192)</f>
        <v>99</v>
      </c>
      <c r="K193" s="349"/>
      <c r="L193" s="350"/>
      <c r="M193" s="285"/>
      <c r="O193" s="349"/>
      <c r="P193" s="350"/>
      <c r="Q193" s="285"/>
      <c r="S193" s="349"/>
      <c r="T193" s="350"/>
      <c r="U193" s="285"/>
    </row>
    <row r="194" spans="2:21" x14ac:dyDescent="0.25">
      <c r="B194" s="349"/>
      <c r="C194" s="350"/>
      <c r="D194" s="285"/>
      <c r="F194" s="349"/>
      <c r="G194" s="350"/>
      <c r="H194" s="285"/>
      <c r="K194" s="344" t="s">
        <v>1292</v>
      </c>
      <c r="L194" s="344"/>
      <c r="M194" s="285">
        <f>M184-M192</f>
        <v>269</v>
      </c>
      <c r="O194" s="344" t="s">
        <v>1292</v>
      </c>
      <c r="P194" s="344"/>
      <c r="Q194" s="285">
        <f>Q184-Q192</f>
        <v>267</v>
      </c>
      <c r="S194" s="344" t="s">
        <v>1292</v>
      </c>
      <c r="T194" s="344"/>
      <c r="U194" s="285">
        <f>U184-U192</f>
        <v>269</v>
      </c>
    </row>
    <row r="195" spans="2:21" x14ac:dyDescent="0.25">
      <c r="B195" s="344" t="s">
        <v>1292</v>
      </c>
      <c r="C195" s="344"/>
      <c r="D195" s="285">
        <f>D185-D193</f>
        <v>269</v>
      </c>
      <c r="F195" s="344" t="s">
        <v>1292</v>
      </c>
      <c r="G195" s="344"/>
      <c r="H195" s="285">
        <f>H185-H193</f>
        <v>266</v>
      </c>
      <c r="K195" s="344" t="s">
        <v>1290</v>
      </c>
      <c r="L195" s="344"/>
      <c r="M195" s="286">
        <f>M194/21</f>
        <v>12.80952380952381</v>
      </c>
      <c r="O195" s="344" t="s">
        <v>1290</v>
      </c>
      <c r="P195" s="344"/>
      <c r="Q195" s="286">
        <f>Q194/21</f>
        <v>12.714285714285714</v>
      </c>
      <c r="S195" s="344" t="s">
        <v>1290</v>
      </c>
      <c r="T195" s="344"/>
      <c r="U195" s="286">
        <f>U194/21</f>
        <v>12.80952380952381</v>
      </c>
    </row>
    <row r="196" spans="2:21" x14ac:dyDescent="0.25">
      <c r="B196" s="344" t="s">
        <v>1290</v>
      </c>
      <c r="C196" s="344"/>
      <c r="D196" s="286">
        <f>D195/21</f>
        <v>12.80952380952381</v>
      </c>
      <c r="F196" s="344" t="s">
        <v>1290</v>
      </c>
      <c r="G196" s="344"/>
      <c r="H196" s="286">
        <f>H195/21</f>
        <v>12.666666666666666</v>
      </c>
      <c r="K196" s="345" t="s">
        <v>1294</v>
      </c>
      <c r="L196" s="345"/>
      <c r="M196" s="280">
        <f>M195/2</f>
        <v>6.4047619047619051</v>
      </c>
      <c r="O196" s="345" t="s">
        <v>1294</v>
      </c>
      <c r="P196" s="345"/>
      <c r="Q196" s="280">
        <f>Q195/2</f>
        <v>6.3571428571428568</v>
      </c>
      <c r="S196" s="345" t="s">
        <v>1294</v>
      </c>
      <c r="T196" s="345"/>
      <c r="U196" s="280">
        <f>U195/2</f>
        <v>6.4047619047619051</v>
      </c>
    </row>
    <row r="197" spans="2:21" x14ac:dyDescent="0.25">
      <c r="B197" s="345" t="s">
        <v>1294</v>
      </c>
      <c r="C197" s="345"/>
      <c r="D197" s="280">
        <f>D196/2</f>
        <v>6.4047619047619051</v>
      </c>
      <c r="F197" s="345" t="s">
        <v>1294</v>
      </c>
      <c r="G197" s="345"/>
      <c r="H197" s="280">
        <f>H196/2</f>
        <v>6.333333333333333</v>
      </c>
      <c r="K197" s="346" t="s">
        <v>1293</v>
      </c>
      <c r="L197" s="346"/>
      <c r="M197" s="274">
        <v>0</v>
      </c>
      <c r="O197" s="346" t="s">
        <v>1293</v>
      </c>
      <c r="P197" s="346"/>
      <c r="Q197" s="274">
        <v>0</v>
      </c>
      <c r="S197" s="346" t="s">
        <v>1293</v>
      </c>
      <c r="T197" s="346"/>
      <c r="U197" s="274">
        <v>0</v>
      </c>
    </row>
    <row r="198" spans="2:21" x14ac:dyDescent="0.25">
      <c r="B198" s="346" t="s">
        <v>1293</v>
      </c>
      <c r="C198" s="346"/>
      <c r="D198" s="274">
        <v>0</v>
      </c>
      <c r="F198" s="346" t="s">
        <v>1293</v>
      </c>
      <c r="G198" s="346"/>
      <c r="H198" s="274">
        <v>0</v>
      </c>
    </row>
  </sheetData>
  <mergeCells count="144">
    <mergeCell ref="B196:C196"/>
    <mergeCell ref="B197:C197"/>
    <mergeCell ref="B198:C198"/>
    <mergeCell ref="B185:C185"/>
    <mergeCell ref="B186:C186"/>
    <mergeCell ref="B187:C187"/>
    <mergeCell ref="B190:C190"/>
    <mergeCell ref="B191:C191"/>
    <mergeCell ref="B192:C192"/>
    <mergeCell ref="B193:C193"/>
    <mergeCell ref="B194:C194"/>
    <mergeCell ref="B195:C195"/>
    <mergeCell ref="K196:L196"/>
    <mergeCell ref="K197:L197"/>
    <mergeCell ref="O184:P184"/>
    <mergeCell ref="O185:P185"/>
    <mergeCell ref="O186:P186"/>
    <mergeCell ref="O189:P189"/>
    <mergeCell ref="O190:P190"/>
    <mergeCell ref="O191:P191"/>
    <mergeCell ref="O192:P192"/>
    <mergeCell ref="O193:P193"/>
    <mergeCell ref="O194:P194"/>
    <mergeCell ref="O195:P195"/>
    <mergeCell ref="O196:P196"/>
    <mergeCell ref="O197:P197"/>
    <mergeCell ref="K191:L191"/>
    <mergeCell ref="K192:L192"/>
    <mergeCell ref="K193:L193"/>
    <mergeCell ref="K194:L194"/>
    <mergeCell ref="K195:L195"/>
    <mergeCell ref="K184:L184"/>
    <mergeCell ref="K185:L185"/>
    <mergeCell ref="K186:L186"/>
    <mergeCell ref="K189:L189"/>
    <mergeCell ref="K190:L190"/>
    <mergeCell ref="K177:L177"/>
    <mergeCell ref="K178:L178"/>
    <mergeCell ref="K179:L179"/>
    <mergeCell ref="K180:L180"/>
    <mergeCell ref="K167:L167"/>
    <mergeCell ref="K168:L168"/>
    <mergeCell ref="K169:L169"/>
    <mergeCell ref="K172:L172"/>
    <mergeCell ref="K175:L175"/>
    <mergeCell ref="K173:L173"/>
    <mergeCell ref="K174:L174"/>
    <mergeCell ref="K160:L160"/>
    <mergeCell ref="K161:L161"/>
    <mergeCell ref="K162:L162"/>
    <mergeCell ref="K151:L151"/>
    <mergeCell ref="K152:L152"/>
    <mergeCell ref="K153:L153"/>
    <mergeCell ref="K156:L156"/>
    <mergeCell ref="K157:L157"/>
    <mergeCell ref="K176:L176"/>
    <mergeCell ref="K147:L147"/>
    <mergeCell ref="K148:L148"/>
    <mergeCell ref="K137:L137"/>
    <mergeCell ref="K138:L138"/>
    <mergeCell ref="K139:L139"/>
    <mergeCell ref="K142:L142"/>
    <mergeCell ref="K143:L143"/>
    <mergeCell ref="K158:L158"/>
    <mergeCell ref="K159:L159"/>
    <mergeCell ref="K133:L133"/>
    <mergeCell ref="K122:L122"/>
    <mergeCell ref="K123:L123"/>
    <mergeCell ref="K124:L124"/>
    <mergeCell ref="K127:L127"/>
    <mergeCell ref="K128:L128"/>
    <mergeCell ref="K144:L144"/>
    <mergeCell ref="K145:L145"/>
    <mergeCell ref="K146:L146"/>
    <mergeCell ref="K106:L106"/>
    <mergeCell ref="K107:L107"/>
    <mergeCell ref="K108:L108"/>
    <mergeCell ref="K111:L111"/>
    <mergeCell ref="K112:L112"/>
    <mergeCell ref="K129:L129"/>
    <mergeCell ref="K130:L130"/>
    <mergeCell ref="K131:L131"/>
    <mergeCell ref="K132:L132"/>
    <mergeCell ref="A2:G2"/>
    <mergeCell ref="A45:G45"/>
    <mergeCell ref="K74:L74"/>
    <mergeCell ref="K75:L75"/>
    <mergeCell ref="K76:L76"/>
    <mergeCell ref="K61:L61"/>
    <mergeCell ref="K62:L62"/>
    <mergeCell ref="K63:L63"/>
    <mergeCell ref="K66:L66"/>
    <mergeCell ref="K67:L67"/>
    <mergeCell ref="K68:L68"/>
    <mergeCell ref="K69:L69"/>
    <mergeCell ref="K70:L70"/>
    <mergeCell ref="K71:L71"/>
    <mergeCell ref="K72:L72"/>
    <mergeCell ref="K83:L83"/>
    <mergeCell ref="K84:L84"/>
    <mergeCell ref="K85:L85"/>
    <mergeCell ref="K79:L79"/>
    <mergeCell ref="K80:L80"/>
    <mergeCell ref="K82:L82"/>
    <mergeCell ref="K81:L81"/>
    <mergeCell ref="F185:G185"/>
    <mergeCell ref="F186:G186"/>
    <mergeCell ref="K99:L99"/>
    <mergeCell ref="K100:L100"/>
    <mergeCell ref="K101:L101"/>
    <mergeCell ref="K102:L102"/>
    <mergeCell ref="K103:L103"/>
    <mergeCell ref="K92:L92"/>
    <mergeCell ref="K93:L93"/>
    <mergeCell ref="K94:L94"/>
    <mergeCell ref="K97:L97"/>
    <mergeCell ref="K98:L98"/>
    <mergeCell ref="K113:L113"/>
    <mergeCell ref="K114:L114"/>
    <mergeCell ref="K115:L115"/>
    <mergeCell ref="K116:L116"/>
    <mergeCell ref="K117:L117"/>
    <mergeCell ref="F198:G198"/>
    <mergeCell ref="F187:G187"/>
    <mergeCell ref="F190:G190"/>
    <mergeCell ref="F191:G191"/>
    <mergeCell ref="F192:G192"/>
    <mergeCell ref="F193:G193"/>
    <mergeCell ref="F194:G194"/>
    <mergeCell ref="F195:G195"/>
    <mergeCell ref="F196:G196"/>
    <mergeCell ref="F197:G197"/>
    <mergeCell ref="S195:T195"/>
    <mergeCell ref="S196:T196"/>
    <mergeCell ref="S197:T197"/>
    <mergeCell ref="S184:T184"/>
    <mergeCell ref="S185:T185"/>
    <mergeCell ref="S186:T186"/>
    <mergeCell ref="S189:T189"/>
    <mergeCell ref="S190:T190"/>
    <mergeCell ref="S191:T191"/>
    <mergeCell ref="S192:T192"/>
    <mergeCell ref="S193:T193"/>
    <mergeCell ref="S194:T194"/>
  </mergeCells>
  <pageMargins left="1.38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61C8-6F05-42DD-9F9B-28A5CA0C4854}">
  <dimension ref="B2:S32"/>
  <sheetViews>
    <sheetView topLeftCell="A22" workbookViewId="0">
      <selection activeCell="Q40" sqref="Q40"/>
    </sheetView>
  </sheetViews>
  <sheetFormatPr defaultRowHeight="15" x14ac:dyDescent="0.25"/>
  <cols>
    <col min="17" max="17" width="12.140625" bestFit="1" customWidth="1"/>
    <col min="18" max="18" width="12" bestFit="1" customWidth="1"/>
    <col min="19" max="19" width="10.42578125" bestFit="1" customWidth="1"/>
  </cols>
  <sheetData>
    <row r="2" spans="2:11" x14ac:dyDescent="0.25">
      <c r="B2" s="283" t="s">
        <v>1318</v>
      </c>
    </row>
    <row r="3" spans="2:11" x14ac:dyDescent="0.25">
      <c r="B3" s="346" t="s">
        <v>1300</v>
      </c>
      <c r="C3" s="346"/>
      <c r="D3" s="274">
        <v>1054</v>
      </c>
    </row>
    <row r="4" spans="2:11" x14ac:dyDescent="0.25">
      <c r="B4" s="346"/>
      <c r="C4" s="346"/>
      <c r="D4" s="274"/>
    </row>
    <row r="5" spans="2:11" x14ac:dyDescent="0.25">
      <c r="B5" s="346" t="s">
        <v>1286</v>
      </c>
      <c r="C5" s="346"/>
      <c r="D5" s="274">
        <v>150</v>
      </c>
    </row>
    <row r="6" spans="2:11" x14ac:dyDescent="0.25">
      <c r="B6" s="278" t="s">
        <v>1287</v>
      </c>
      <c r="C6" s="278"/>
      <c r="D6" s="291">
        <v>40</v>
      </c>
    </row>
    <row r="7" spans="2:11" x14ac:dyDescent="0.25">
      <c r="B7" s="278" t="s">
        <v>1288</v>
      </c>
      <c r="C7" s="278"/>
      <c r="D7" s="291">
        <v>33</v>
      </c>
      <c r="F7" s="277"/>
      <c r="G7">
        <v>2022</v>
      </c>
      <c r="H7">
        <v>2023</v>
      </c>
      <c r="I7">
        <v>2024</v>
      </c>
      <c r="J7">
        <v>2025</v>
      </c>
      <c r="K7" t="s">
        <v>19</v>
      </c>
    </row>
    <row r="8" spans="2:11" x14ac:dyDescent="0.25">
      <c r="B8" s="344" t="s">
        <v>1289</v>
      </c>
      <c r="C8" s="344"/>
      <c r="D8" s="285">
        <f>SUM(G8:J8)</f>
        <v>28</v>
      </c>
      <c r="G8">
        <v>0</v>
      </c>
      <c r="H8">
        <v>13</v>
      </c>
      <c r="I8">
        <v>11</v>
      </c>
      <c r="J8">
        <v>4</v>
      </c>
    </row>
    <row r="9" spans="2:11" x14ac:dyDescent="0.25">
      <c r="B9" s="344" t="s">
        <v>1291</v>
      </c>
      <c r="C9" s="344"/>
      <c r="D9" s="285">
        <f>SUM(D5:D8)</f>
        <v>251</v>
      </c>
    </row>
    <row r="10" spans="2:11" x14ac:dyDescent="0.25">
      <c r="B10" s="349"/>
      <c r="C10" s="350"/>
      <c r="D10" s="285"/>
    </row>
    <row r="11" spans="2:11" x14ac:dyDescent="0.25">
      <c r="B11" s="344" t="s">
        <v>1292</v>
      </c>
      <c r="C11" s="344"/>
      <c r="D11" s="285">
        <f>D3-D9</f>
        <v>803</v>
      </c>
    </row>
    <row r="12" spans="2:11" x14ac:dyDescent="0.25">
      <c r="B12" s="344" t="s">
        <v>1290</v>
      </c>
      <c r="C12" s="344"/>
      <c r="D12" s="286">
        <f>D11/21</f>
        <v>38.238095238095241</v>
      </c>
    </row>
    <row r="13" spans="2:11" x14ac:dyDescent="0.25">
      <c r="B13" s="345" t="s">
        <v>1294</v>
      </c>
      <c r="C13" s="345"/>
      <c r="D13" s="280">
        <f>D12/2</f>
        <v>19.11904761904762</v>
      </c>
    </row>
    <row r="14" spans="2:11" x14ac:dyDescent="0.25">
      <c r="B14" s="346" t="s">
        <v>1293</v>
      </c>
      <c r="C14" s="346"/>
      <c r="D14" s="274">
        <v>0</v>
      </c>
    </row>
    <row r="16" spans="2:11" ht="15.75" thickBot="1" x14ac:dyDescent="0.3"/>
    <row r="17" spans="2:19" ht="30.75" thickBot="1" x14ac:dyDescent="0.3">
      <c r="B17" s="283" t="s">
        <v>1330</v>
      </c>
      <c r="N17" s="296" t="s">
        <v>1354</v>
      </c>
      <c r="O17" s="297" t="s">
        <v>1355</v>
      </c>
      <c r="P17" s="297" t="s">
        <v>1356</v>
      </c>
      <c r="Q17" s="297" t="s">
        <v>1357</v>
      </c>
      <c r="R17" s="297" t="s">
        <v>1358</v>
      </c>
      <c r="S17" s="297" t="s">
        <v>1359</v>
      </c>
    </row>
    <row r="18" spans="2:19" ht="75.75" thickBot="1" x14ac:dyDescent="0.3">
      <c r="B18" s="346" t="s">
        <v>1300</v>
      </c>
      <c r="C18" s="346"/>
      <c r="D18" s="274">
        <v>365</v>
      </c>
      <c r="N18" s="298">
        <v>1</v>
      </c>
      <c r="O18" s="299" t="s">
        <v>1360</v>
      </c>
      <c r="P18" s="300" t="s">
        <v>1361</v>
      </c>
      <c r="Q18" s="301">
        <v>23520</v>
      </c>
      <c r="R18" s="301">
        <v>26000</v>
      </c>
      <c r="S18" s="301">
        <v>2480</v>
      </c>
    </row>
    <row r="19" spans="2:19" ht="45.75" thickBot="1" x14ac:dyDescent="0.3">
      <c r="B19" s="346"/>
      <c r="C19" s="346"/>
      <c r="D19" s="274"/>
      <c r="N19" s="298">
        <v>2</v>
      </c>
      <c r="O19" s="299" t="s">
        <v>1362</v>
      </c>
      <c r="P19" s="300" t="s">
        <v>1363</v>
      </c>
      <c r="Q19" s="301">
        <v>22569</v>
      </c>
      <c r="R19" s="301">
        <v>24000</v>
      </c>
      <c r="S19" s="301">
        <v>1431</v>
      </c>
    </row>
    <row r="20" spans="2:19" ht="75.75" thickBot="1" x14ac:dyDescent="0.3">
      <c r="B20" s="346" t="s">
        <v>1286</v>
      </c>
      <c r="C20" s="346"/>
      <c r="D20" s="274">
        <v>52</v>
      </c>
      <c r="N20" s="298">
        <v>3</v>
      </c>
      <c r="O20" s="299" t="s">
        <v>1364</v>
      </c>
      <c r="P20" s="300" t="s">
        <v>1365</v>
      </c>
      <c r="Q20" s="301">
        <v>22569</v>
      </c>
      <c r="R20" s="301">
        <v>24000</v>
      </c>
      <c r="S20" s="301">
        <v>1431</v>
      </c>
    </row>
    <row r="21" spans="2:19" ht="45.75" thickBot="1" x14ac:dyDescent="0.3">
      <c r="B21" s="278" t="s">
        <v>1287</v>
      </c>
      <c r="C21" s="278"/>
      <c r="D21" s="291">
        <v>14</v>
      </c>
      <c r="N21" s="298"/>
      <c r="O21" s="299" t="s">
        <v>1366</v>
      </c>
      <c r="P21" s="300" t="s">
        <v>1367</v>
      </c>
      <c r="Q21" s="301">
        <v>18262</v>
      </c>
      <c r="R21" s="301">
        <v>20000</v>
      </c>
      <c r="S21" s="301">
        <v>1738</v>
      </c>
    </row>
    <row r="22" spans="2:19" ht="30.75" thickBot="1" x14ac:dyDescent="0.3">
      <c r="B22" s="278" t="s">
        <v>1288</v>
      </c>
      <c r="C22" s="278"/>
      <c r="D22" s="291">
        <v>11</v>
      </c>
      <c r="F22" s="277"/>
      <c r="G22">
        <v>2022</v>
      </c>
      <c r="H22">
        <v>2023</v>
      </c>
      <c r="I22">
        <v>2024</v>
      </c>
      <c r="J22">
        <v>2025</v>
      </c>
      <c r="K22" t="s">
        <v>19</v>
      </c>
      <c r="N22" s="298">
        <v>4</v>
      </c>
      <c r="O22" s="299" t="s">
        <v>1368</v>
      </c>
      <c r="P22" s="300" t="s">
        <v>1369</v>
      </c>
      <c r="Q22" s="301">
        <v>20332</v>
      </c>
      <c r="R22" s="301">
        <v>25000</v>
      </c>
      <c r="S22" s="301">
        <v>4668</v>
      </c>
    </row>
    <row r="23" spans="2:19" ht="45.75" thickBot="1" x14ac:dyDescent="0.3">
      <c r="B23" s="344" t="s">
        <v>1289</v>
      </c>
      <c r="C23" s="344"/>
      <c r="D23" s="285">
        <v>13</v>
      </c>
      <c r="G23">
        <v>4</v>
      </c>
      <c r="H23">
        <v>13</v>
      </c>
      <c r="I23">
        <v>13</v>
      </c>
      <c r="J23">
        <v>8</v>
      </c>
      <c r="N23" s="298">
        <v>5</v>
      </c>
      <c r="O23" s="299" t="s">
        <v>1370</v>
      </c>
      <c r="P23" s="300" t="s">
        <v>1371</v>
      </c>
      <c r="Q23" s="301">
        <v>18262</v>
      </c>
      <c r="R23" s="301">
        <v>20000</v>
      </c>
      <c r="S23" s="301">
        <v>1738</v>
      </c>
    </row>
    <row r="24" spans="2:19" ht="30.75" thickBot="1" x14ac:dyDescent="0.3">
      <c r="B24" s="344" t="s">
        <v>1291</v>
      </c>
      <c r="C24" s="344"/>
      <c r="D24" s="285">
        <f>SUM(D20:D23)</f>
        <v>90</v>
      </c>
      <c r="G24">
        <v>2</v>
      </c>
      <c r="H24">
        <v>7</v>
      </c>
      <c r="I24">
        <v>7</v>
      </c>
      <c r="J24">
        <v>4</v>
      </c>
      <c r="N24" s="298">
        <v>6</v>
      </c>
      <c r="O24" s="299" t="s">
        <v>1372</v>
      </c>
      <c r="P24" s="300" t="s">
        <v>1371</v>
      </c>
      <c r="Q24" s="301">
        <v>23103</v>
      </c>
      <c r="R24" s="301">
        <v>24000</v>
      </c>
      <c r="S24" s="302">
        <v>897</v>
      </c>
    </row>
    <row r="25" spans="2:19" ht="45.75" thickBot="1" x14ac:dyDescent="0.3">
      <c r="B25" s="349"/>
      <c r="C25" s="350"/>
      <c r="D25" s="285"/>
      <c r="N25" s="298">
        <v>7</v>
      </c>
      <c r="O25" s="299" t="s">
        <v>1373</v>
      </c>
      <c r="P25" s="300" t="s">
        <v>1374</v>
      </c>
      <c r="Q25" s="301">
        <v>18837</v>
      </c>
      <c r="R25" s="301">
        <v>20000</v>
      </c>
      <c r="S25" s="301">
        <v>1163</v>
      </c>
    </row>
    <row r="26" spans="2:19" ht="60.75" thickBot="1" x14ac:dyDescent="0.3">
      <c r="B26" s="344" t="s">
        <v>1292</v>
      </c>
      <c r="C26" s="344"/>
      <c r="D26" s="285">
        <f>D18-D24</f>
        <v>275</v>
      </c>
      <c r="N26" s="298">
        <v>8</v>
      </c>
      <c r="O26" s="299" t="s">
        <v>1375</v>
      </c>
      <c r="P26" s="300" t="s">
        <v>1376</v>
      </c>
      <c r="Q26" s="301">
        <v>21827</v>
      </c>
      <c r="R26" s="301">
        <v>22500</v>
      </c>
      <c r="S26" s="302">
        <v>673</v>
      </c>
    </row>
    <row r="27" spans="2:19" ht="30.75" thickBot="1" x14ac:dyDescent="0.3">
      <c r="B27" s="344" t="s">
        <v>1290</v>
      </c>
      <c r="C27" s="344"/>
      <c r="D27" s="286">
        <f>D26/21</f>
        <v>13.095238095238095</v>
      </c>
      <c r="N27" s="298">
        <v>9</v>
      </c>
      <c r="O27" s="299" t="s">
        <v>1377</v>
      </c>
      <c r="P27" s="300" t="s">
        <v>1376</v>
      </c>
      <c r="Q27" s="301">
        <v>23040</v>
      </c>
      <c r="R27" s="301">
        <v>24000</v>
      </c>
      <c r="S27" s="302">
        <v>960</v>
      </c>
    </row>
    <row r="28" spans="2:19" ht="30.75" thickBot="1" x14ac:dyDescent="0.3">
      <c r="B28" s="345" t="s">
        <v>1294</v>
      </c>
      <c r="C28" s="345"/>
      <c r="D28" s="280">
        <f>D27/2</f>
        <v>6.5476190476190474</v>
      </c>
      <c r="N28" s="298">
        <v>10</v>
      </c>
      <c r="O28" s="299" t="s">
        <v>1378</v>
      </c>
      <c r="P28" s="300" t="s">
        <v>1379</v>
      </c>
      <c r="Q28" s="301">
        <v>22426</v>
      </c>
      <c r="R28" s="301">
        <v>23500</v>
      </c>
      <c r="S28" s="301">
        <v>1074</v>
      </c>
    </row>
    <row r="29" spans="2:19" ht="30.75" thickBot="1" x14ac:dyDescent="0.3">
      <c r="B29" s="346" t="s">
        <v>1293</v>
      </c>
      <c r="C29" s="346"/>
      <c r="D29" s="274">
        <v>0</v>
      </c>
      <c r="N29" s="298">
        <v>11</v>
      </c>
      <c r="O29" s="299" t="s">
        <v>1380</v>
      </c>
      <c r="P29" s="300" t="s">
        <v>1379</v>
      </c>
      <c r="Q29" s="301">
        <v>16656</v>
      </c>
      <c r="R29" s="301">
        <v>18000</v>
      </c>
      <c r="S29" s="301">
        <v>1344</v>
      </c>
    </row>
    <row r="30" spans="2:19" ht="30.75" thickBot="1" x14ac:dyDescent="0.3">
      <c r="N30" s="298">
        <v>12</v>
      </c>
      <c r="O30" s="299" t="s">
        <v>1381</v>
      </c>
      <c r="P30" s="300" t="s">
        <v>1379</v>
      </c>
      <c r="Q30" s="301">
        <v>16056</v>
      </c>
      <c r="R30" s="301">
        <v>17500</v>
      </c>
      <c r="S30" s="301">
        <v>1444</v>
      </c>
    </row>
    <row r="31" spans="2:19" ht="30.75" thickBot="1" x14ac:dyDescent="0.3">
      <c r="N31" s="298">
        <v>13</v>
      </c>
      <c r="O31" s="299" t="s">
        <v>1382</v>
      </c>
      <c r="P31" s="300" t="s">
        <v>1379</v>
      </c>
      <c r="Q31" s="301">
        <v>18837</v>
      </c>
      <c r="R31" s="301">
        <v>20000</v>
      </c>
      <c r="S31" s="301">
        <v>1163</v>
      </c>
    </row>
    <row r="32" spans="2:19" ht="15.75" thickBot="1" x14ac:dyDescent="0.3">
      <c r="N32" s="354" t="s">
        <v>1383</v>
      </c>
      <c r="O32" s="355"/>
      <c r="P32" s="356"/>
      <c r="Q32" s="303">
        <f>SUM(Q18:Q31)</f>
        <v>286296</v>
      </c>
      <c r="R32" s="303">
        <f t="shared" ref="R32:S32" si="0">SUM(R18:R31)</f>
        <v>308500</v>
      </c>
      <c r="S32" s="303">
        <f t="shared" si="0"/>
        <v>22204</v>
      </c>
    </row>
  </sheetData>
  <mergeCells count="21">
    <mergeCell ref="N32:P32"/>
    <mergeCell ref="B11:C11"/>
    <mergeCell ref="B12:C12"/>
    <mergeCell ref="B13:C13"/>
    <mergeCell ref="B14:C14"/>
    <mergeCell ref="B24:C24"/>
    <mergeCell ref="B25:C25"/>
    <mergeCell ref="B26:C26"/>
    <mergeCell ref="B27:C27"/>
    <mergeCell ref="B28:C28"/>
    <mergeCell ref="B29:C29"/>
    <mergeCell ref="B3:C3"/>
    <mergeCell ref="B4:C4"/>
    <mergeCell ref="B5:C5"/>
    <mergeCell ref="B8:C8"/>
    <mergeCell ref="B9:C9"/>
    <mergeCell ref="B10:C10"/>
    <mergeCell ref="B18:C18"/>
    <mergeCell ref="B19:C19"/>
    <mergeCell ref="B20:C20"/>
    <mergeCell ref="B23:C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29"/>
  <sheetViews>
    <sheetView zoomScale="70" zoomScaleNormal="70" workbookViewId="0">
      <pane xSplit="8" ySplit="3" topLeftCell="I178" activePane="bottomRight" state="frozen"/>
      <selection pane="topRight" activeCell="I1" sqref="I1"/>
      <selection pane="bottomLeft" activeCell="A4" sqref="A4"/>
      <selection pane="bottomRight" sqref="A1:XFD1048576"/>
    </sheetView>
  </sheetViews>
  <sheetFormatPr defaultRowHeight="15" x14ac:dyDescent="0.25"/>
  <cols>
    <col min="1" max="1" width="7.85546875" style="115" customWidth="1"/>
    <col min="2" max="2" width="8.42578125" style="97" customWidth="1"/>
    <col min="3" max="3" width="13.7109375" style="97" hidden="1" customWidth="1"/>
    <col min="4" max="4" width="27.140625" style="97" customWidth="1"/>
    <col min="5" max="5" width="17.42578125" style="203" bestFit="1" customWidth="1"/>
    <col min="6" max="6" width="14.42578125" style="203" hidden="1" customWidth="1"/>
    <col min="7" max="7" width="14.42578125" style="204" customWidth="1"/>
    <col min="8" max="8" width="13.140625" style="97" hidden="1" customWidth="1"/>
    <col min="9" max="9" width="16.140625" style="204" customWidth="1"/>
    <col min="10" max="10" width="12.85546875" style="97" hidden="1" customWidth="1"/>
    <col min="11" max="11" width="13.28515625" style="97" hidden="1" customWidth="1"/>
    <col min="12" max="12" width="31.140625" style="205" hidden="1" customWidth="1"/>
    <col min="13" max="13" width="16" style="206" customWidth="1"/>
    <col min="14" max="14" width="12.7109375" style="206" hidden="1" customWidth="1"/>
    <col min="15" max="15" width="14.140625" style="97" hidden="1" customWidth="1"/>
    <col min="16" max="16" width="17.7109375" style="97" hidden="1" customWidth="1"/>
    <col min="17" max="17" width="17.7109375" style="97" customWidth="1"/>
    <col min="18" max="18" width="17.7109375" style="204" customWidth="1"/>
    <col min="19" max="22" width="17.7109375" style="97" customWidth="1"/>
    <col min="23" max="23" width="9.140625" style="97" customWidth="1"/>
    <col min="24" max="24" width="22.42578125" style="97" customWidth="1"/>
    <col min="25" max="16384" width="9.140625" style="97"/>
  </cols>
  <sheetData>
    <row r="1" spans="1:26" ht="21" x14ac:dyDescent="0.25">
      <c r="A1" s="335" t="s">
        <v>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96"/>
      <c r="Q1" s="96"/>
      <c r="R1" s="209"/>
      <c r="S1" s="96"/>
      <c r="T1" s="96"/>
      <c r="U1" s="96"/>
      <c r="V1" s="96"/>
      <c r="W1" s="96"/>
    </row>
    <row r="2" spans="1:26" ht="21.75" thickBot="1" x14ac:dyDescent="0.3">
      <c r="A2" s="337" t="s">
        <v>101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98"/>
      <c r="Q2" s="98"/>
      <c r="R2" s="232"/>
      <c r="S2" s="98"/>
      <c r="T2" s="98"/>
      <c r="U2" s="98"/>
      <c r="V2" s="98"/>
      <c r="W2" s="98"/>
    </row>
    <row r="3" spans="1:26" ht="60.75" customHeight="1" thickBot="1" x14ac:dyDescent="0.3">
      <c r="A3" s="99" t="s">
        <v>102</v>
      </c>
      <c r="B3" s="100" t="s">
        <v>103</v>
      </c>
      <c r="C3" s="100"/>
      <c r="D3" s="101" t="s">
        <v>3</v>
      </c>
      <c r="E3" s="338" t="s">
        <v>104</v>
      </c>
      <c r="F3" s="339"/>
      <c r="G3" s="340"/>
      <c r="H3" s="102" t="s">
        <v>105</v>
      </c>
      <c r="I3" s="100" t="s">
        <v>5</v>
      </c>
      <c r="J3" s="101" t="s">
        <v>106</v>
      </c>
      <c r="K3" s="103" t="s">
        <v>107</v>
      </c>
      <c r="L3" s="100" t="s">
        <v>108</v>
      </c>
      <c r="M3" s="101" t="s">
        <v>109</v>
      </c>
      <c r="N3" s="101" t="s">
        <v>110</v>
      </c>
      <c r="O3" s="104" t="s">
        <v>111</v>
      </c>
      <c r="P3" s="105" t="s">
        <v>112</v>
      </c>
      <c r="Q3" s="9" t="s">
        <v>12</v>
      </c>
      <c r="R3" s="84" t="s">
        <v>15</v>
      </c>
      <c r="S3" s="9" t="s">
        <v>16</v>
      </c>
      <c r="T3" s="341" t="s">
        <v>17</v>
      </c>
      <c r="U3" s="342"/>
      <c r="V3" s="9" t="s">
        <v>18</v>
      </c>
      <c r="W3" s="106" t="s">
        <v>13</v>
      </c>
      <c r="X3" s="107" t="s">
        <v>113</v>
      </c>
    </row>
    <row r="4" spans="1:26" ht="49.5" customHeight="1" thickBot="1" x14ac:dyDescent="0.3">
      <c r="A4" s="108"/>
      <c r="B4" s="103"/>
      <c r="C4" s="109"/>
      <c r="D4" s="103"/>
      <c r="E4" s="110" t="s">
        <v>114</v>
      </c>
      <c r="F4" s="110" t="s">
        <v>115</v>
      </c>
      <c r="G4" s="110" t="s">
        <v>116</v>
      </c>
      <c r="H4" s="111"/>
      <c r="I4" s="109"/>
      <c r="J4" s="103"/>
      <c r="K4" s="103"/>
      <c r="L4" s="109"/>
      <c r="M4" s="112"/>
      <c r="N4" s="112"/>
      <c r="O4" s="103"/>
      <c r="P4" s="113"/>
      <c r="Q4" s="113"/>
      <c r="R4" s="113"/>
      <c r="S4" s="113"/>
      <c r="T4" s="113"/>
      <c r="U4" s="113"/>
      <c r="V4" s="113"/>
      <c r="W4" s="114"/>
      <c r="X4" s="97">
        <f>SUM(W6:W198)</f>
        <v>147</v>
      </c>
      <c r="Z4" s="115">
        <f>A198-X4</f>
        <v>14</v>
      </c>
    </row>
    <row r="5" spans="1:26" s="118" customFormat="1" ht="24" thickBot="1" x14ac:dyDescent="0.3">
      <c r="A5" s="327" t="s">
        <v>117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9"/>
      <c r="P5" s="116"/>
      <c r="Q5" s="116"/>
      <c r="R5" s="116"/>
      <c r="S5" s="116"/>
      <c r="T5" s="116"/>
      <c r="U5" s="116"/>
      <c r="V5" s="116"/>
      <c r="W5" s="117"/>
    </row>
    <row r="6" spans="1:26" s="129" customFormat="1" ht="30" x14ac:dyDescent="0.25">
      <c r="A6" s="122" t="s">
        <v>20</v>
      </c>
      <c r="B6" s="123">
        <v>1</v>
      </c>
      <c r="C6" s="124"/>
      <c r="D6" s="210" t="s">
        <v>118</v>
      </c>
      <c r="E6" s="124" t="s">
        <v>119</v>
      </c>
      <c r="F6" s="124"/>
      <c r="G6" s="124" t="s">
        <v>120</v>
      </c>
      <c r="H6" s="124" t="s">
        <v>121</v>
      </c>
      <c r="I6" s="124" t="s">
        <v>122</v>
      </c>
      <c r="J6" s="124" t="s">
        <v>123</v>
      </c>
      <c r="K6" s="124" t="s">
        <v>124</v>
      </c>
      <c r="L6" s="124" t="s">
        <v>125</v>
      </c>
      <c r="M6" s="126">
        <v>10738.35</v>
      </c>
      <c r="N6" s="126">
        <v>17556.349999999999</v>
      </c>
      <c r="O6" s="124" t="s">
        <v>126</v>
      </c>
      <c r="P6" s="151" t="s">
        <v>127</v>
      </c>
      <c r="Q6" s="151" t="s">
        <v>1078</v>
      </c>
      <c r="R6" s="151">
        <f>M6*9</f>
        <v>96645.150000000009</v>
      </c>
      <c r="S6" s="151"/>
      <c r="T6" s="151"/>
      <c r="U6" s="151"/>
      <c r="V6" s="151"/>
      <c r="W6" s="128"/>
    </row>
    <row r="7" spans="1:26" s="118" customFormat="1" ht="24" thickBot="1" x14ac:dyDescent="0.3">
      <c r="A7" s="324" t="s">
        <v>128</v>
      </c>
      <c r="B7" s="325"/>
      <c r="C7" s="325"/>
      <c r="D7" s="325"/>
      <c r="E7" s="325"/>
      <c r="F7" s="325"/>
      <c r="G7" s="325"/>
      <c r="H7" s="325"/>
      <c r="I7" s="325"/>
      <c r="J7" s="325"/>
      <c r="K7" s="325"/>
      <c r="L7" s="325"/>
      <c r="M7" s="325"/>
      <c r="N7" s="325"/>
      <c r="O7" s="326"/>
      <c r="P7" s="116"/>
      <c r="Q7" s="116"/>
      <c r="R7" s="116"/>
      <c r="S7" s="116"/>
      <c r="T7" s="116"/>
      <c r="U7" s="116"/>
      <c r="V7" s="116"/>
      <c r="W7" s="117"/>
    </row>
    <row r="8" spans="1:26" s="129" customFormat="1" ht="60.75" thickBot="1" x14ac:dyDescent="0.3">
      <c r="A8" s="122" t="s">
        <v>23</v>
      </c>
      <c r="B8" s="123">
        <v>1</v>
      </c>
      <c r="C8" s="124"/>
      <c r="D8" s="125" t="s">
        <v>129</v>
      </c>
      <c r="E8" s="124" t="s">
        <v>130</v>
      </c>
      <c r="F8" s="124" t="s">
        <v>130</v>
      </c>
      <c r="G8" s="124" t="s">
        <v>131</v>
      </c>
      <c r="H8" s="124" t="s">
        <v>132</v>
      </c>
      <c r="I8" s="124" t="s">
        <v>133</v>
      </c>
      <c r="J8" s="124" t="s">
        <v>123</v>
      </c>
      <c r="K8" s="124" t="s">
        <v>134</v>
      </c>
      <c r="L8" s="124" t="s">
        <v>135</v>
      </c>
      <c r="M8" s="126">
        <f>N8*60%</f>
        <v>15600</v>
      </c>
      <c r="N8" s="126">
        <v>26000</v>
      </c>
      <c r="O8" s="124"/>
      <c r="P8" s="127">
        <v>1613459391</v>
      </c>
      <c r="Q8" s="127" t="s">
        <v>42</v>
      </c>
      <c r="R8" s="127"/>
      <c r="S8" s="127"/>
      <c r="T8" s="127"/>
      <c r="U8" s="127"/>
      <c r="V8" s="127"/>
      <c r="W8" s="128">
        <v>1</v>
      </c>
    </row>
    <row r="9" spans="1:26" s="129" customFormat="1" ht="30.75" thickBot="1" x14ac:dyDescent="0.3">
      <c r="A9" s="122" t="s">
        <v>26</v>
      </c>
      <c r="B9" s="123">
        <f>B71+1</f>
        <v>2</v>
      </c>
      <c r="C9" s="124"/>
      <c r="D9" s="125" t="s">
        <v>136</v>
      </c>
      <c r="E9" s="124" t="s">
        <v>137</v>
      </c>
      <c r="F9" s="124"/>
      <c r="G9" s="124" t="s">
        <v>138</v>
      </c>
      <c r="H9" s="124" t="s">
        <v>139</v>
      </c>
      <c r="I9" s="124" t="s">
        <v>140</v>
      </c>
      <c r="J9" s="124" t="s">
        <v>123</v>
      </c>
      <c r="K9" s="124" t="s">
        <v>141</v>
      </c>
      <c r="L9" s="124" t="s">
        <v>142</v>
      </c>
      <c r="M9" s="126">
        <v>13860</v>
      </c>
      <c r="N9" s="126">
        <v>22660</v>
      </c>
      <c r="O9" s="124"/>
      <c r="P9" s="127" t="s">
        <v>143</v>
      </c>
      <c r="Q9" s="127" t="s">
        <v>1079</v>
      </c>
      <c r="R9" s="127">
        <f>M9*3</f>
        <v>41580</v>
      </c>
      <c r="S9" s="127"/>
      <c r="T9" s="127"/>
      <c r="U9" s="127"/>
      <c r="V9" s="127"/>
      <c r="W9" s="128">
        <v>1</v>
      </c>
    </row>
    <row r="10" spans="1:26" s="129" customFormat="1" ht="30" x14ac:dyDescent="0.25">
      <c r="A10" s="122" t="s">
        <v>29</v>
      </c>
      <c r="B10" s="123">
        <f>B72+1</f>
        <v>3</v>
      </c>
      <c r="C10" s="124"/>
      <c r="D10" s="125" t="s">
        <v>144</v>
      </c>
      <c r="E10" s="124" t="s">
        <v>145</v>
      </c>
      <c r="F10" s="124"/>
      <c r="G10" s="124" t="s">
        <v>146</v>
      </c>
      <c r="H10" s="124" t="s">
        <v>147</v>
      </c>
      <c r="I10" s="124" t="s">
        <v>148</v>
      </c>
      <c r="J10" s="124" t="s">
        <v>123</v>
      </c>
      <c r="K10" s="124" t="s">
        <v>141</v>
      </c>
      <c r="L10" s="124" t="s">
        <v>149</v>
      </c>
      <c r="M10" s="126">
        <v>11497.499999999998</v>
      </c>
      <c r="N10" s="126">
        <v>18797.499999999996</v>
      </c>
      <c r="O10" s="124"/>
      <c r="P10" s="127" t="s">
        <v>150</v>
      </c>
      <c r="Q10" s="127" t="s">
        <v>1080</v>
      </c>
      <c r="R10" s="127">
        <f>M10*7</f>
        <v>80482.499999999985</v>
      </c>
      <c r="S10" s="127"/>
      <c r="T10" s="127"/>
      <c r="U10" s="127"/>
      <c r="V10" s="127"/>
      <c r="W10" s="128">
        <v>1</v>
      </c>
    </row>
    <row r="11" spans="1:26" ht="15.75" thickBot="1" x14ac:dyDescent="0.3">
      <c r="A11" s="324" t="s">
        <v>151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5"/>
      <c r="N11" s="325"/>
      <c r="O11" s="326"/>
      <c r="P11" s="130"/>
      <c r="Q11" s="130"/>
      <c r="R11" s="130"/>
      <c r="S11" s="130"/>
      <c r="T11" s="130"/>
      <c r="U11" s="130"/>
      <c r="V11" s="130"/>
      <c r="W11" s="114"/>
    </row>
    <row r="12" spans="1:26" s="129" customFormat="1" x14ac:dyDescent="0.25">
      <c r="A12" s="131" t="s">
        <v>31</v>
      </c>
      <c r="B12" s="123">
        <v>1</v>
      </c>
      <c r="C12" s="124"/>
      <c r="D12" s="125" t="s">
        <v>152</v>
      </c>
      <c r="E12" s="124" t="s">
        <v>119</v>
      </c>
      <c r="F12" s="124"/>
      <c r="G12" s="124" t="s">
        <v>120</v>
      </c>
      <c r="H12" s="124" t="s">
        <v>153</v>
      </c>
      <c r="I12" s="124" t="s">
        <v>154</v>
      </c>
      <c r="J12" s="124" t="s">
        <v>123</v>
      </c>
      <c r="K12" s="124" t="s">
        <v>155</v>
      </c>
      <c r="L12" s="124" t="s">
        <v>156</v>
      </c>
      <c r="M12" s="126">
        <v>7924.4549999999981</v>
      </c>
      <c r="N12" s="126">
        <v>12955.854999999996</v>
      </c>
      <c r="O12" s="124"/>
      <c r="P12" s="127" t="s">
        <v>157</v>
      </c>
      <c r="Q12" s="127" t="s">
        <v>1081</v>
      </c>
      <c r="R12" s="127">
        <f>M12*6</f>
        <v>47546.729999999989</v>
      </c>
      <c r="S12" s="127"/>
      <c r="T12" s="127"/>
      <c r="U12" s="127"/>
      <c r="V12" s="127"/>
      <c r="W12" s="128">
        <v>1</v>
      </c>
    </row>
    <row r="13" spans="1:26" ht="15.75" thickBot="1" x14ac:dyDescent="0.3">
      <c r="A13" s="317" t="s">
        <v>158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8"/>
      <c r="P13" s="130"/>
      <c r="Q13" s="130"/>
      <c r="R13" s="130"/>
      <c r="S13" s="130"/>
      <c r="T13" s="130"/>
      <c r="U13" s="130"/>
      <c r="V13" s="130"/>
      <c r="W13" s="114"/>
    </row>
    <row r="14" spans="1:26" s="129" customFormat="1" ht="30.75" thickBot="1" x14ac:dyDescent="0.3">
      <c r="A14" s="122" t="s">
        <v>33</v>
      </c>
      <c r="B14" s="123">
        <v>1</v>
      </c>
      <c r="C14" s="124"/>
      <c r="D14" s="125" t="s">
        <v>159</v>
      </c>
      <c r="E14" s="124" t="s">
        <v>160</v>
      </c>
      <c r="F14" s="124"/>
      <c r="G14" s="124" t="s">
        <v>161</v>
      </c>
      <c r="H14" s="124" t="s">
        <v>162</v>
      </c>
      <c r="I14" s="124" t="s">
        <v>163</v>
      </c>
      <c r="J14" s="124" t="s">
        <v>123</v>
      </c>
      <c r="K14" s="124" t="s">
        <v>164</v>
      </c>
      <c r="L14" s="124" t="s">
        <v>165</v>
      </c>
      <c r="M14" s="126">
        <v>15000</v>
      </c>
      <c r="N14" s="126">
        <v>25000</v>
      </c>
      <c r="O14" s="124"/>
      <c r="P14" s="127" t="s">
        <v>166</v>
      </c>
      <c r="Q14" s="127" t="s">
        <v>1082</v>
      </c>
      <c r="R14" s="127">
        <f>M14*4</f>
        <v>60000</v>
      </c>
      <c r="S14" s="127"/>
      <c r="T14" s="127"/>
      <c r="U14" s="127"/>
      <c r="V14" s="127"/>
      <c r="W14" s="128">
        <v>1</v>
      </c>
      <c r="X14" s="129">
        <f>2</f>
        <v>2</v>
      </c>
    </row>
    <row r="15" spans="1:26" s="129" customFormat="1" ht="30.75" thickBot="1" x14ac:dyDescent="0.3">
      <c r="A15" s="122" t="s">
        <v>35</v>
      </c>
      <c r="B15" s="123">
        <f>B14+1</f>
        <v>2</v>
      </c>
      <c r="C15" s="124"/>
      <c r="D15" s="125" t="s">
        <v>167</v>
      </c>
      <c r="E15" s="124" t="s">
        <v>168</v>
      </c>
      <c r="F15" s="124" t="s">
        <v>168</v>
      </c>
      <c r="G15" s="124" t="s">
        <v>169</v>
      </c>
      <c r="H15" s="124" t="s">
        <v>170</v>
      </c>
      <c r="I15" s="124" t="s">
        <v>171</v>
      </c>
      <c r="J15" s="124" t="s">
        <v>123</v>
      </c>
      <c r="K15" s="124" t="s">
        <v>141</v>
      </c>
      <c r="L15" s="124" t="s">
        <v>172</v>
      </c>
      <c r="M15" s="126">
        <v>8400</v>
      </c>
      <c r="N15" s="126">
        <v>14000</v>
      </c>
      <c r="O15" s="124"/>
      <c r="P15" s="132" t="s">
        <v>173</v>
      </c>
      <c r="Q15" s="132" t="s">
        <v>1083</v>
      </c>
      <c r="R15" s="132"/>
      <c r="S15" s="132"/>
      <c r="T15" s="132"/>
      <c r="U15" s="132"/>
      <c r="V15" s="132"/>
      <c r="W15" s="128">
        <v>1</v>
      </c>
      <c r="X15" s="129">
        <f>7</f>
        <v>7</v>
      </c>
    </row>
    <row r="16" spans="1:26" s="129" customFormat="1" ht="15.75" thickBot="1" x14ac:dyDescent="0.3">
      <c r="A16" s="122" t="s">
        <v>36</v>
      </c>
      <c r="B16" s="123">
        <f t="shared" ref="B16:B17" si="0">B15+1</f>
        <v>3</v>
      </c>
      <c r="C16" s="124"/>
      <c r="D16" s="125" t="s">
        <v>174</v>
      </c>
      <c r="E16" s="124" t="s">
        <v>175</v>
      </c>
      <c r="F16" s="124"/>
      <c r="G16" s="124" t="s">
        <v>57</v>
      </c>
      <c r="H16" s="124" t="s">
        <v>176</v>
      </c>
      <c r="I16" s="124" t="s">
        <v>177</v>
      </c>
      <c r="J16" s="124" t="s">
        <v>178</v>
      </c>
      <c r="K16" s="124" t="s">
        <v>155</v>
      </c>
      <c r="L16" s="124"/>
      <c r="M16" s="133">
        <v>7200</v>
      </c>
      <c r="N16" s="126">
        <v>12000</v>
      </c>
      <c r="O16" s="124"/>
      <c r="P16" s="134">
        <v>1909222111</v>
      </c>
      <c r="Q16" s="134" t="s">
        <v>1084</v>
      </c>
      <c r="R16" s="134"/>
      <c r="S16" s="134"/>
      <c r="T16" s="134"/>
      <c r="U16" s="134"/>
      <c r="V16" s="134"/>
      <c r="W16" s="135">
        <v>1</v>
      </c>
      <c r="X16" s="129">
        <f>7</f>
        <v>7</v>
      </c>
    </row>
    <row r="17" spans="1:24" s="129" customFormat="1" ht="30" x14ac:dyDescent="0.25">
      <c r="A17" s="122" t="s">
        <v>38</v>
      </c>
      <c r="B17" s="123">
        <f t="shared" si="0"/>
        <v>4</v>
      </c>
      <c r="C17" s="124"/>
      <c r="D17" s="125" t="s">
        <v>179</v>
      </c>
      <c r="E17" s="136" t="s">
        <v>180</v>
      </c>
      <c r="F17" s="136"/>
      <c r="G17" s="136" t="s">
        <v>181</v>
      </c>
      <c r="H17" s="136" t="s">
        <v>182</v>
      </c>
      <c r="I17" s="136" t="s">
        <v>183</v>
      </c>
      <c r="J17" s="124" t="s">
        <v>178</v>
      </c>
      <c r="K17" s="136" t="s">
        <v>141</v>
      </c>
      <c r="L17" s="136"/>
      <c r="M17" s="133">
        <v>10800</v>
      </c>
      <c r="N17" s="137">
        <v>18000</v>
      </c>
      <c r="O17" s="138"/>
      <c r="P17" s="139" t="s">
        <v>184</v>
      </c>
      <c r="Q17" s="139" t="s">
        <v>1085</v>
      </c>
      <c r="R17" s="139"/>
      <c r="S17" s="139"/>
      <c r="T17" s="139"/>
      <c r="U17" s="139"/>
      <c r="V17" s="139"/>
      <c r="W17" s="135">
        <v>1</v>
      </c>
    </row>
    <row r="18" spans="1:24" s="129" customFormat="1" ht="30" x14ac:dyDescent="0.25">
      <c r="A18" s="140" t="s">
        <v>40</v>
      </c>
      <c r="B18" s="141">
        <v>5</v>
      </c>
      <c r="C18" s="136"/>
      <c r="D18" s="142" t="s">
        <v>185</v>
      </c>
      <c r="E18" s="136" t="s">
        <v>180</v>
      </c>
      <c r="F18" s="136"/>
      <c r="G18" s="136" t="s">
        <v>181</v>
      </c>
      <c r="H18" s="136"/>
      <c r="I18" s="136"/>
      <c r="J18" s="124" t="s">
        <v>178</v>
      </c>
      <c r="K18" s="136" t="s">
        <v>141</v>
      </c>
      <c r="L18" s="136"/>
      <c r="M18" s="133"/>
      <c r="N18" s="137">
        <v>14000</v>
      </c>
      <c r="O18" s="138"/>
      <c r="P18" s="139"/>
      <c r="Q18" s="139"/>
      <c r="R18" s="139"/>
      <c r="S18" s="139"/>
      <c r="T18" s="139"/>
      <c r="U18" s="139"/>
      <c r="V18" s="139"/>
      <c r="W18" s="135">
        <v>1</v>
      </c>
    </row>
    <row r="19" spans="1:24" s="144" customFormat="1" ht="15.75" thickBot="1" x14ac:dyDescent="0.3">
      <c r="A19" s="310" t="s">
        <v>25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2"/>
      <c r="P19" s="143"/>
      <c r="Q19" s="143"/>
      <c r="R19" s="143"/>
      <c r="S19" s="143"/>
      <c r="T19" s="143"/>
      <c r="U19" s="143"/>
      <c r="V19" s="143"/>
      <c r="W19" s="106"/>
    </row>
    <row r="20" spans="1:24" s="129" customFormat="1" ht="45.75" thickBot="1" x14ac:dyDescent="0.3">
      <c r="A20" s="131" t="s">
        <v>43</v>
      </c>
      <c r="B20" s="123">
        <v>1</v>
      </c>
      <c r="C20" s="124"/>
      <c r="D20" s="125" t="s">
        <v>186</v>
      </c>
      <c r="E20" s="124" t="s">
        <v>64</v>
      </c>
      <c r="F20" s="124" t="s">
        <v>187</v>
      </c>
      <c r="G20" s="124" t="s">
        <v>188</v>
      </c>
      <c r="H20" s="124" t="s">
        <v>189</v>
      </c>
      <c r="I20" s="124" t="s">
        <v>190</v>
      </c>
      <c r="J20" s="124" t="s">
        <v>123</v>
      </c>
      <c r="K20" s="124" t="s">
        <v>155</v>
      </c>
      <c r="L20" s="124" t="s">
        <v>191</v>
      </c>
      <c r="M20" s="126">
        <v>14982.319799999997</v>
      </c>
      <c r="N20" s="126">
        <v>24494.903799999996</v>
      </c>
      <c r="O20" s="124"/>
      <c r="P20" s="127" t="s">
        <v>192</v>
      </c>
      <c r="Q20" s="127" t="s">
        <v>1086</v>
      </c>
      <c r="R20" s="127">
        <f>M20*10</f>
        <v>149823.19799999997</v>
      </c>
      <c r="S20" s="127"/>
      <c r="T20" s="127"/>
      <c r="U20" s="127"/>
      <c r="V20" s="127"/>
      <c r="W20" s="128">
        <v>1</v>
      </c>
    </row>
    <row r="21" spans="1:24" ht="45.75" thickBot="1" x14ac:dyDescent="0.3">
      <c r="A21" s="145" t="s">
        <v>44</v>
      </c>
      <c r="B21" s="120">
        <f>B20+1</f>
        <v>2</v>
      </c>
      <c r="C21" s="86"/>
      <c r="D21" s="92" t="s">
        <v>63</v>
      </c>
      <c r="E21" s="86" t="s">
        <v>64</v>
      </c>
      <c r="F21" s="86" t="s">
        <v>187</v>
      </c>
      <c r="G21" s="86" t="s">
        <v>193</v>
      </c>
      <c r="H21" s="86" t="s">
        <v>194</v>
      </c>
      <c r="I21" s="86" t="s">
        <v>91</v>
      </c>
      <c r="J21" s="86" t="s">
        <v>123</v>
      </c>
      <c r="K21" s="86" t="s">
        <v>155</v>
      </c>
      <c r="L21" s="86" t="s">
        <v>195</v>
      </c>
      <c r="M21" s="121">
        <v>18312.096599999997</v>
      </c>
      <c r="N21" s="121">
        <v>29938.824599999996</v>
      </c>
      <c r="O21" s="86"/>
      <c r="P21" s="146" t="s">
        <v>196</v>
      </c>
      <c r="Q21" s="207" t="s">
        <v>92</v>
      </c>
      <c r="R21" s="146">
        <f>M21*14</f>
        <v>256369.35239999997</v>
      </c>
      <c r="S21" s="146"/>
      <c r="T21" s="146"/>
      <c r="U21" s="146"/>
      <c r="V21" s="146"/>
      <c r="W21" s="114"/>
    </row>
    <row r="22" spans="1:24" s="129" customFormat="1" ht="30.75" thickBot="1" x14ac:dyDescent="0.3">
      <c r="A22" s="145" t="s">
        <v>197</v>
      </c>
      <c r="B22" s="123">
        <f>B21+1</f>
        <v>3</v>
      </c>
      <c r="C22" s="124"/>
      <c r="D22" s="125" t="s">
        <v>198</v>
      </c>
      <c r="E22" s="124" t="s">
        <v>64</v>
      </c>
      <c r="F22" s="124" t="s">
        <v>187</v>
      </c>
      <c r="G22" s="124" t="s">
        <v>188</v>
      </c>
      <c r="H22" s="124" t="s">
        <v>199</v>
      </c>
      <c r="I22" s="124" t="s">
        <v>200</v>
      </c>
      <c r="J22" s="124" t="s">
        <v>123</v>
      </c>
      <c r="K22" s="124" t="s">
        <v>201</v>
      </c>
      <c r="L22" s="124" t="s">
        <v>202</v>
      </c>
      <c r="M22" s="126">
        <v>9213.75</v>
      </c>
      <c r="N22" s="126">
        <v>15063.75</v>
      </c>
      <c r="O22" s="124"/>
      <c r="P22" s="127" t="s">
        <v>203</v>
      </c>
      <c r="Q22" s="127" t="s">
        <v>55</v>
      </c>
      <c r="R22" s="127">
        <f>M22*3</f>
        <v>27641.25</v>
      </c>
      <c r="S22" s="127"/>
      <c r="T22" s="127"/>
      <c r="U22" s="127"/>
      <c r="V22" s="127"/>
      <c r="W22" s="128">
        <v>1</v>
      </c>
      <c r="X22" s="129">
        <f>2</f>
        <v>2</v>
      </c>
    </row>
    <row r="23" spans="1:24" s="129" customFormat="1" ht="45.75" thickBot="1" x14ac:dyDescent="0.3">
      <c r="A23" s="145" t="s">
        <v>204</v>
      </c>
      <c r="B23" s="123">
        <f t="shared" ref="B23:B44" si="1">B22+1</f>
        <v>4</v>
      </c>
      <c r="C23" s="124"/>
      <c r="D23" s="125" t="s">
        <v>205</v>
      </c>
      <c r="E23" s="124" t="s">
        <v>64</v>
      </c>
      <c r="F23" s="124" t="s">
        <v>187</v>
      </c>
      <c r="G23" s="124" t="s">
        <v>188</v>
      </c>
      <c r="H23" s="124" t="s">
        <v>206</v>
      </c>
      <c r="I23" s="124" t="s">
        <v>207</v>
      </c>
      <c r="J23" s="124" t="s">
        <v>208</v>
      </c>
      <c r="K23" s="124" t="s">
        <v>124</v>
      </c>
      <c r="L23" s="124" t="s">
        <v>209</v>
      </c>
      <c r="M23" s="126">
        <v>9213.75</v>
      </c>
      <c r="N23" s="126">
        <v>15063.75</v>
      </c>
      <c r="O23" s="124"/>
      <c r="P23" s="127" t="s">
        <v>210</v>
      </c>
      <c r="Q23" s="127" t="s">
        <v>99</v>
      </c>
      <c r="R23" s="127">
        <f>M23*4</f>
        <v>36855</v>
      </c>
      <c r="S23" s="127"/>
      <c r="T23" s="127"/>
      <c r="U23" s="127"/>
      <c r="V23" s="127"/>
      <c r="W23" s="128">
        <v>1</v>
      </c>
    </row>
    <row r="24" spans="1:24" s="129" customFormat="1" ht="30.75" thickBot="1" x14ac:dyDescent="0.3">
      <c r="A24" s="145" t="s">
        <v>211</v>
      </c>
      <c r="B24" s="123">
        <f t="shared" si="1"/>
        <v>5</v>
      </c>
      <c r="C24" s="124"/>
      <c r="D24" s="125" t="s">
        <v>212</v>
      </c>
      <c r="E24" s="124" t="s">
        <v>27</v>
      </c>
      <c r="F24" s="124" t="s">
        <v>213</v>
      </c>
      <c r="G24" s="124" t="s">
        <v>214</v>
      </c>
      <c r="H24" s="124" t="s">
        <v>215</v>
      </c>
      <c r="I24" s="124" t="s">
        <v>216</v>
      </c>
      <c r="J24" s="124" t="s">
        <v>123</v>
      </c>
      <c r="K24" s="124" t="s">
        <v>217</v>
      </c>
      <c r="L24" s="124" t="s">
        <v>218</v>
      </c>
      <c r="M24" s="126">
        <v>12474.766867499997</v>
      </c>
      <c r="N24" s="126">
        <v>20395.253767499991</v>
      </c>
      <c r="O24" s="124" t="s">
        <v>219</v>
      </c>
      <c r="P24" s="127" t="s">
        <v>220</v>
      </c>
      <c r="Q24" s="127" t="s">
        <v>1087</v>
      </c>
      <c r="R24" s="127">
        <f>M24*23</f>
        <v>286919.63795249991</v>
      </c>
      <c r="S24" s="127"/>
      <c r="T24" s="127"/>
      <c r="U24" s="127"/>
      <c r="V24" s="127"/>
      <c r="W24" s="128">
        <v>1</v>
      </c>
    </row>
    <row r="25" spans="1:24" s="129" customFormat="1" ht="30.75" thickBot="1" x14ac:dyDescent="0.3">
      <c r="A25" s="145" t="s">
        <v>221</v>
      </c>
      <c r="B25" s="123">
        <f t="shared" si="1"/>
        <v>6</v>
      </c>
      <c r="C25" s="124"/>
      <c r="D25" s="125" t="s">
        <v>222</v>
      </c>
      <c r="E25" s="124" t="s">
        <v>27</v>
      </c>
      <c r="F25" s="124" t="s">
        <v>213</v>
      </c>
      <c r="G25" s="124" t="s">
        <v>214</v>
      </c>
      <c r="H25" s="124" t="s">
        <v>223</v>
      </c>
      <c r="I25" s="124" t="s">
        <v>216</v>
      </c>
      <c r="J25" s="124" t="s">
        <v>123</v>
      </c>
      <c r="K25" s="124" t="s">
        <v>217</v>
      </c>
      <c r="L25" s="124" t="s">
        <v>224</v>
      </c>
      <c r="M25" s="133">
        <v>12975.938088749999</v>
      </c>
      <c r="N25" s="126">
        <v>21214.62893875</v>
      </c>
      <c r="O25" s="124" t="s">
        <v>225</v>
      </c>
      <c r="P25" s="127" t="s">
        <v>226</v>
      </c>
      <c r="Q25" s="127" t="s">
        <v>1087</v>
      </c>
      <c r="R25" s="127">
        <f>M25*23</f>
        <v>298446.57604124997</v>
      </c>
      <c r="S25" s="127"/>
      <c r="T25" s="127"/>
      <c r="U25" s="127"/>
      <c r="V25" s="127"/>
      <c r="W25" s="128">
        <v>1</v>
      </c>
    </row>
    <row r="26" spans="1:24" ht="30.75" thickBot="1" x14ac:dyDescent="0.3">
      <c r="A26" s="145" t="s">
        <v>227</v>
      </c>
      <c r="B26" s="120">
        <f t="shared" si="1"/>
        <v>7</v>
      </c>
      <c r="C26" s="86"/>
      <c r="D26" s="92" t="s">
        <v>65</v>
      </c>
      <c r="E26" s="86" t="s">
        <v>27</v>
      </c>
      <c r="F26" s="86" t="s">
        <v>213</v>
      </c>
      <c r="G26" s="86" t="s">
        <v>214</v>
      </c>
      <c r="H26" s="86" t="s">
        <v>228</v>
      </c>
      <c r="I26" s="86" t="s">
        <v>67</v>
      </c>
      <c r="J26" s="86" t="s">
        <v>123</v>
      </c>
      <c r="K26" s="86" t="s">
        <v>217</v>
      </c>
      <c r="L26" s="86" t="s">
        <v>229</v>
      </c>
      <c r="M26" s="121">
        <v>11354.030099999996</v>
      </c>
      <c r="N26" s="121">
        <v>18562.938099999992</v>
      </c>
      <c r="O26" s="86"/>
      <c r="P26" s="146" t="s">
        <v>230</v>
      </c>
      <c r="Q26" s="207" t="s">
        <v>1088</v>
      </c>
      <c r="R26" s="146">
        <f>M26*14</f>
        <v>158956.42139999993</v>
      </c>
      <c r="S26" s="146"/>
      <c r="T26" s="146"/>
      <c r="U26" s="146"/>
      <c r="V26" s="146"/>
      <c r="W26" s="114"/>
      <c r="X26" s="97">
        <f>11</f>
        <v>11</v>
      </c>
    </row>
    <row r="27" spans="1:24" ht="30.75" thickBot="1" x14ac:dyDescent="0.3">
      <c r="A27" s="145" t="s">
        <v>231</v>
      </c>
      <c r="B27" s="120">
        <f t="shared" si="1"/>
        <v>8</v>
      </c>
      <c r="C27" s="86"/>
      <c r="D27" s="92" t="s">
        <v>66</v>
      </c>
      <c r="E27" s="86" t="s">
        <v>27</v>
      </c>
      <c r="F27" s="86" t="s">
        <v>213</v>
      </c>
      <c r="G27" s="86" t="s">
        <v>214</v>
      </c>
      <c r="H27" s="86" t="s">
        <v>232</v>
      </c>
      <c r="I27" s="86" t="s">
        <v>68</v>
      </c>
      <c r="J27" s="86" t="s">
        <v>123</v>
      </c>
      <c r="K27" s="86" t="s">
        <v>217</v>
      </c>
      <c r="L27" s="86" t="s">
        <v>233</v>
      </c>
      <c r="M27" s="121">
        <v>11292.259387499998</v>
      </c>
      <c r="N27" s="121">
        <v>18461.947887499995</v>
      </c>
      <c r="O27" s="86"/>
      <c r="P27" s="146" t="s">
        <v>234</v>
      </c>
      <c r="Q27" s="207" t="s">
        <v>94</v>
      </c>
      <c r="R27" s="146">
        <f>M27*16</f>
        <v>180676.15019999997</v>
      </c>
      <c r="S27" s="146"/>
      <c r="T27" s="146"/>
      <c r="U27" s="146"/>
      <c r="V27" s="146"/>
      <c r="W27" s="114"/>
    </row>
    <row r="28" spans="1:24" s="129" customFormat="1" ht="30.75" thickBot="1" x14ac:dyDescent="0.3">
      <c r="A28" s="145" t="s">
        <v>235</v>
      </c>
      <c r="B28" s="120">
        <f t="shared" si="1"/>
        <v>9</v>
      </c>
      <c r="C28" s="124"/>
      <c r="D28" s="125" t="s">
        <v>236</v>
      </c>
      <c r="E28" s="124" t="s">
        <v>27</v>
      </c>
      <c r="F28" s="124" t="s">
        <v>213</v>
      </c>
      <c r="G28" s="124" t="s">
        <v>214</v>
      </c>
      <c r="H28" s="124" t="s">
        <v>237</v>
      </c>
      <c r="I28" s="124" t="s">
        <v>238</v>
      </c>
      <c r="J28" s="124" t="s">
        <v>123</v>
      </c>
      <c r="K28" s="124" t="s">
        <v>217</v>
      </c>
      <c r="L28" s="124" t="s">
        <v>239</v>
      </c>
      <c r="M28" s="126">
        <v>7924.4549999999981</v>
      </c>
      <c r="N28" s="126">
        <v>12955.854999999996</v>
      </c>
      <c r="O28" s="124"/>
      <c r="P28" s="127" t="s">
        <v>240</v>
      </c>
      <c r="Q28" s="127" t="s">
        <v>1089</v>
      </c>
      <c r="R28" s="127">
        <f>M28*6</f>
        <v>47546.729999999989</v>
      </c>
      <c r="S28" s="127"/>
      <c r="T28" s="127"/>
      <c r="U28" s="127"/>
      <c r="V28" s="127"/>
      <c r="W28" s="128">
        <v>1</v>
      </c>
      <c r="X28" s="129">
        <f>6</f>
        <v>6</v>
      </c>
    </row>
    <row r="29" spans="1:24" s="129" customFormat="1" ht="30.75" thickBot="1" x14ac:dyDescent="0.3">
      <c r="A29" s="145" t="s">
        <v>241</v>
      </c>
      <c r="B29" s="123">
        <f t="shared" si="1"/>
        <v>10</v>
      </c>
      <c r="C29" s="124"/>
      <c r="D29" s="125" t="s">
        <v>242</v>
      </c>
      <c r="E29" s="124" t="s">
        <v>27</v>
      </c>
      <c r="F29" s="124" t="s">
        <v>213</v>
      </c>
      <c r="G29" s="124" t="s">
        <v>214</v>
      </c>
      <c r="H29" s="124" t="s">
        <v>243</v>
      </c>
      <c r="I29" s="124" t="s">
        <v>244</v>
      </c>
      <c r="J29" s="124" t="s">
        <v>123</v>
      </c>
      <c r="K29" s="124" t="s">
        <v>141</v>
      </c>
      <c r="L29" s="124" t="s">
        <v>245</v>
      </c>
      <c r="M29" s="126">
        <v>7422.0299999999988</v>
      </c>
      <c r="N29" s="126">
        <v>12134.429999999997</v>
      </c>
      <c r="O29" s="124"/>
      <c r="P29" s="127" t="s">
        <v>246</v>
      </c>
      <c r="Q29" s="127" t="s">
        <v>1090</v>
      </c>
      <c r="R29" s="127">
        <f>M29*5</f>
        <v>37110.149999999994</v>
      </c>
      <c r="S29" s="127"/>
      <c r="T29" s="127"/>
      <c r="U29" s="127"/>
      <c r="V29" s="127"/>
      <c r="W29" s="128">
        <v>1</v>
      </c>
    </row>
    <row r="30" spans="1:24" s="129" customFormat="1" ht="30.75" thickBot="1" x14ac:dyDescent="0.3">
      <c r="A30" s="145" t="s">
        <v>247</v>
      </c>
      <c r="B30" s="123">
        <f t="shared" si="1"/>
        <v>11</v>
      </c>
      <c r="C30" s="124"/>
      <c r="D30" s="125" t="s">
        <v>248</v>
      </c>
      <c r="E30" s="124" t="s">
        <v>27</v>
      </c>
      <c r="F30" s="124" t="s">
        <v>213</v>
      </c>
      <c r="G30" s="124" t="s">
        <v>214</v>
      </c>
      <c r="H30" s="124" t="s">
        <v>249</v>
      </c>
      <c r="I30" s="124" t="s">
        <v>250</v>
      </c>
      <c r="J30" s="124" t="s">
        <v>123</v>
      </c>
      <c r="K30" s="124" t="s">
        <v>155</v>
      </c>
      <c r="L30" s="124" t="s">
        <v>251</v>
      </c>
      <c r="M30" s="126">
        <v>7422.0299999999988</v>
      </c>
      <c r="N30" s="126">
        <v>12134.429999999997</v>
      </c>
      <c r="O30" s="124"/>
      <c r="P30" s="127" t="s">
        <v>252</v>
      </c>
      <c r="Q30" s="127" t="s">
        <v>1090</v>
      </c>
      <c r="R30" s="127">
        <f>M30*5</f>
        <v>37110.149999999994</v>
      </c>
      <c r="S30" s="127"/>
      <c r="T30" s="127"/>
      <c r="U30" s="127"/>
      <c r="V30" s="127"/>
      <c r="W30" s="128">
        <v>1</v>
      </c>
    </row>
    <row r="31" spans="1:24" s="129" customFormat="1" ht="30.75" thickBot="1" x14ac:dyDescent="0.3">
      <c r="A31" s="145" t="s">
        <v>253</v>
      </c>
      <c r="B31" s="123">
        <f t="shared" si="1"/>
        <v>12</v>
      </c>
      <c r="C31" s="124"/>
      <c r="D31" s="125" t="s">
        <v>254</v>
      </c>
      <c r="E31" s="124" t="s">
        <v>27</v>
      </c>
      <c r="F31" s="124" t="s">
        <v>213</v>
      </c>
      <c r="G31" s="124" t="s">
        <v>214</v>
      </c>
      <c r="H31" s="124" t="s">
        <v>255</v>
      </c>
      <c r="I31" s="124" t="s">
        <v>256</v>
      </c>
      <c r="J31" s="124" t="s">
        <v>123</v>
      </c>
      <c r="K31" s="124" t="s">
        <v>257</v>
      </c>
      <c r="L31" s="124" t="s">
        <v>258</v>
      </c>
      <c r="M31" s="126">
        <v>6930</v>
      </c>
      <c r="N31" s="126">
        <v>11330</v>
      </c>
      <c r="O31" s="124"/>
      <c r="P31" s="127" t="s">
        <v>259</v>
      </c>
      <c r="Q31" s="127" t="s">
        <v>99</v>
      </c>
      <c r="R31" s="127">
        <f>M31*4</f>
        <v>27720</v>
      </c>
      <c r="S31" s="127"/>
      <c r="T31" s="127"/>
      <c r="U31" s="127"/>
      <c r="V31" s="127"/>
      <c r="W31" s="147">
        <v>1</v>
      </c>
      <c r="X31" s="129">
        <f>5</f>
        <v>5</v>
      </c>
    </row>
    <row r="32" spans="1:24" s="129" customFormat="1" ht="30.75" thickBot="1" x14ac:dyDescent="0.3">
      <c r="A32" s="145" t="s">
        <v>260</v>
      </c>
      <c r="B32" s="123">
        <f t="shared" si="1"/>
        <v>13</v>
      </c>
      <c r="C32" s="124"/>
      <c r="D32" s="125" t="s">
        <v>261</v>
      </c>
      <c r="E32" s="124" t="s">
        <v>27</v>
      </c>
      <c r="F32" s="124" t="s">
        <v>213</v>
      </c>
      <c r="G32" s="124" t="s">
        <v>214</v>
      </c>
      <c r="H32" s="124" t="s">
        <v>262</v>
      </c>
      <c r="I32" s="124" t="s">
        <v>263</v>
      </c>
      <c r="J32" s="124" t="s">
        <v>123</v>
      </c>
      <c r="K32" s="124" t="s">
        <v>141</v>
      </c>
      <c r="L32" s="124" t="s">
        <v>264</v>
      </c>
      <c r="M32" s="126">
        <v>6930</v>
      </c>
      <c r="N32" s="126">
        <v>11330</v>
      </c>
      <c r="O32" s="124" t="s">
        <v>265</v>
      </c>
      <c r="P32" s="127" t="s">
        <v>266</v>
      </c>
      <c r="Q32" s="127" t="s">
        <v>1091</v>
      </c>
      <c r="R32" s="127">
        <f>M32*3</f>
        <v>20790</v>
      </c>
      <c r="S32" s="127"/>
      <c r="T32" s="127"/>
      <c r="U32" s="127"/>
      <c r="V32" s="127"/>
      <c r="W32" s="148">
        <v>1</v>
      </c>
    </row>
    <row r="33" spans="1:24" s="129" customFormat="1" ht="30.75" thickBot="1" x14ac:dyDescent="0.3">
      <c r="A33" s="145" t="s">
        <v>267</v>
      </c>
      <c r="B33" s="123">
        <f t="shared" si="1"/>
        <v>14</v>
      </c>
      <c r="C33" s="124"/>
      <c r="D33" s="125" t="s">
        <v>268</v>
      </c>
      <c r="E33" s="124" t="s">
        <v>269</v>
      </c>
      <c r="F33" s="124" t="s">
        <v>269</v>
      </c>
      <c r="G33" s="124" t="s">
        <v>214</v>
      </c>
      <c r="H33" s="124" t="s">
        <v>270</v>
      </c>
      <c r="I33" s="124" t="s">
        <v>271</v>
      </c>
      <c r="J33" s="124" t="s">
        <v>123</v>
      </c>
      <c r="K33" s="124" t="s">
        <v>141</v>
      </c>
      <c r="L33" s="124" t="s">
        <v>272</v>
      </c>
      <c r="M33" s="126">
        <v>6930</v>
      </c>
      <c r="N33" s="149">
        <v>11330</v>
      </c>
      <c r="O33" s="124" t="s">
        <v>265</v>
      </c>
      <c r="P33" s="127" t="s">
        <v>273</v>
      </c>
      <c r="Q33" s="127" t="s">
        <v>1092</v>
      </c>
      <c r="R33" s="127"/>
      <c r="S33" s="127"/>
      <c r="T33" s="127"/>
      <c r="U33" s="127"/>
      <c r="V33" s="127"/>
      <c r="W33" s="150">
        <v>1</v>
      </c>
      <c r="X33" s="129">
        <f>14</f>
        <v>14</v>
      </c>
    </row>
    <row r="34" spans="1:24" s="129" customFormat="1" ht="30.75" thickBot="1" x14ac:dyDescent="0.3">
      <c r="A34" s="145" t="s">
        <v>274</v>
      </c>
      <c r="B34" s="123">
        <f t="shared" si="1"/>
        <v>15</v>
      </c>
      <c r="C34" s="124"/>
      <c r="D34" s="125" t="s">
        <v>275</v>
      </c>
      <c r="E34" s="124" t="s">
        <v>27</v>
      </c>
      <c r="F34" s="124" t="s">
        <v>213</v>
      </c>
      <c r="G34" s="124" t="s">
        <v>214</v>
      </c>
      <c r="H34" s="124" t="s">
        <v>276</v>
      </c>
      <c r="I34" s="124" t="s">
        <v>277</v>
      </c>
      <c r="J34" s="124" t="s">
        <v>123</v>
      </c>
      <c r="K34" s="124" t="s">
        <v>141</v>
      </c>
      <c r="L34" s="124" t="s">
        <v>278</v>
      </c>
      <c r="M34" s="126">
        <v>6930</v>
      </c>
      <c r="N34" s="126">
        <v>11330</v>
      </c>
      <c r="O34" s="124" t="s">
        <v>265</v>
      </c>
      <c r="P34" s="127" t="s">
        <v>279</v>
      </c>
      <c r="Q34" s="127" t="s">
        <v>55</v>
      </c>
      <c r="R34" s="127">
        <f t="shared" ref="R34:R42" si="2">M34*3</f>
        <v>20790</v>
      </c>
      <c r="S34" s="127"/>
      <c r="T34" s="127"/>
      <c r="U34" s="127"/>
      <c r="V34" s="127"/>
      <c r="W34" s="128">
        <v>1</v>
      </c>
    </row>
    <row r="35" spans="1:24" s="129" customFormat="1" ht="30.75" thickBot="1" x14ac:dyDescent="0.3">
      <c r="A35" s="145" t="s">
        <v>280</v>
      </c>
      <c r="B35" s="123">
        <f t="shared" si="1"/>
        <v>16</v>
      </c>
      <c r="C35" s="124"/>
      <c r="D35" s="125" t="s">
        <v>281</v>
      </c>
      <c r="E35" s="124" t="s">
        <v>27</v>
      </c>
      <c r="F35" s="124" t="s">
        <v>213</v>
      </c>
      <c r="G35" s="124" t="s">
        <v>214</v>
      </c>
      <c r="H35" s="124" t="s">
        <v>282</v>
      </c>
      <c r="I35" s="124" t="s">
        <v>283</v>
      </c>
      <c r="J35" s="124" t="s">
        <v>123</v>
      </c>
      <c r="K35" s="124" t="s">
        <v>155</v>
      </c>
      <c r="L35" s="124" t="s">
        <v>284</v>
      </c>
      <c r="M35" s="126">
        <v>6930</v>
      </c>
      <c r="N35" s="126">
        <v>11330</v>
      </c>
      <c r="O35" s="124" t="s">
        <v>265</v>
      </c>
      <c r="P35" s="151" t="s">
        <v>285</v>
      </c>
      <c r="Q35" s="151" t="s">
        <v>1093</v>
      </c>
      <c r="R35" s="151">
        <f t="shared" si="2"/>
        <v>20790</v>
      </c>
      <c r="S35" s="151"/>
      <c r="T35" s="151"/>
      <c r="U35" s="151"/>
      <c r="V35" s="151"/>
      <c r="W35" s="128">
        <v>1</v>
      </c>
      <c r="X35" s="129">
        <f>14</f>
        <v>14</v>
      </c>
    </row>
    <row r="36" spans="1:24" s="129" customFormat="1" ht="30.75" thickBot="1" x14ac:dyDescent="0.3">
      <c r="A36" s="131" t="s">
        <v>286</v>
      </c>
      <c r="B36" s="123">
        <f t="shared" si="1"/>
        <v>17</v>
      </c>
      <c r="C36" s="124"/>
      <c r="D36" s="125" t="s">
        <v>287</v>
      </c>
      <c r="E36" s="124" t="s">
        <v>27</v>
      </c>
      <c r="F36" s="124" t="s">
        <v>213</v>
      </c>
      <c r="G36" s="124" t="s">
        <v>214</v>
      </c>
      <c r="H36" s="124" t="s">
        <v>288</v>
      </c>
      <c r="I36" s="124" t="s">
        <v>289</v>
      </c>
      <c r="J36" s="124" t="s">
        <v>123</v>
      </c>
      <c r="K36" s="124" t="s">
        <v>141</v>
      </c>
      <c r="L36" s="124" t="s">
        <v>290</v>
      </c>
      <c r="M36" s="126">
        <v>6930</v>
      </c>
      <c r="N36" s="126">
        <v>11330</v>
      </c>
      <c r="O36" s="124" t="s">
        <v>265</v>
      </c>
      <c r="P36" s="127" t="s">
        <v>291</v>
      </c>
      <c r="Q36" s="151" t="s">
        <v>1093</v>
      </c>
      <c r="R36" s="127">
        <f t="shared" si="2"/>
        <v>20790</v>
      </c>
      <c r="S36" s="127"/>
      <c r="T36" s="127"/>
      <c r="U36" s="127"/>
      <c r="V36" s="127"/>
      <c r="W36" s="128">
        <v>1</v>
      </c>
      <c r="X36" s="129">
        <f>11</f>
        <v>11</v>
      </c>
    </row>
    <row r="37" spans="1:24" s="129" customFormat="1" ht="30.75" thickBot="1" x14ac:dyDescent="0.3">
      <c r="A37" s="145" t="s">
        <v>292</v>
      </c>
      <c r="B37" s="123">
        <f t="shared" si="1"/>
        <v>18</v>
      </c>
      <c r="C37" s="124"/>
      <c r="D37" s="125" t="s">
        <v>293</v>
      </c>
      <c r="E37" s="124" t="s">
        <v>27</v>
      </c>
      <c r="F37" s="124" t="s">
        <v>213</v>
      </c>
      <c r="G37" s="124" t="s">
        <v>214</v>
      </c>
      <c r="H37" s="124" t="s">
        <v>294</v>
      </c>
      <c r="I37" s="124" t="s">
        <v>289</v>
      </c>
      <c r="J37" s="124" t="s">
        <v>123</v>
      </c>
      <c r="K37" s="124" t="s">
        <v>295</v>
      </c>
      <c r="L37" s="124" t="s">
        <v>296</v>
      </c>
      <c r="M37" s="126">
        <v>6930</v>
      </c>
      <c r="N37" s="126">
        <v>11330</v>
      </c>
      <c r="O37" s="124" t="s">
        <v>265</v>
      </c>
      <c r="P37" s="127" t="s">
        <v>297</v>
      </c>
      <c r="Q37" s="151" t="s">
        <v>1093</v>
      </c>
      <c r="R37" s="127">
        <f t="shared" si="2"/>
        <v>20790</v>
      </c>
      <c r="S37" s="127"/>
      <c r="T37" s="127"/>
      <c r="U37" s="127"/>
      <c r="V37" s="127"/>
      <c r="W37" s="128">
        <v>1</v>
      </c>
      <c r="X37" s="129">
        <f>5</f>
        <v>5</v>
      </c>
    </row>
    <row r="38" spans="1:24" s="129" customFormat="1" ht="30.75" thickBot="1" x14ac:dyDescent="0.3">
      <c r="A38" s="145" t="s">
        <v>298</v>
      </c>
      <c r="B38" s="123">
        <f t="shared" si="1"/>
        <v>19</v>
      </c>
      <c r="C38" s="124"/>
      <c r="D38" s="125" t="s">
        <v>299</v>
      </c>
      <c r="E38" s="124" t="s">
        <v>27</v>
      </c>
      <c r="F38" s="124" t="s">
        <v>213</v>
      </c>
      <c r="G38" s="124" t="s">
        <v>214</v>
      </c>
      <c r="H38" s="124" t="s">
        <v>300</v>
      </c>
      <c r="I38" s="124" t="s">
        <v>289</v>
      </c>
      <c r="J38" s="124" t="s">
        <v>123</v>
      </c>
      <c r="K38" s="124" t="s">
        <v>155</v>
      </c>
      <c r="L38" s="124" t="s">
        <v>301</v>
      </c>
      <c r="M38" s="126">
        <v>6930</v>
      </c>
      <c r="N38" s="126">
        <v>11330</v>
      </c>
      <c r="O38" s="124" t="s">
        <v>265</v>
      </c>
      <c r="P38" s="127" t="s">
        <v>302</v>
      </c>
      <c r="Q38" s="151" t="s">
        <v>1093</v>
      </c>
      <c r="R38" s="127">
        <f t="shared" si="2"/>
        <v>20790</v>
      </c>
      <c r="S38" s="127"/>
      <c r="T38" s="127"/>
      <c r="U38" s="127"/>
      <c r="V38" s="127"/>
      <c r="W38" s="128">
        <v>1</v>
      </c>
      <c r="X38" s="129">
        <f>14</f>
        <v>14</v>
      </c>
    </row>
    <row r="39" spans="1:24" s="129" customFormat="1" ht="30.75" thickBot="1" x14ac:dyDescent="0.3">
      <c r="A39" s="145" t="s">
        <v>303</v>
      </c>
      <c r="B39" s="123">
        <f t="shared" si="1"/>
        <v>20</v>
      </c>
      <c r="C39" s="124"/>
      <c r="D39" s="125" t="s">
        <v>304</v>
      </c>
      <c r="E39" s="124" t="s">
        <v>27</v>
      </c>
      <c r="F39" s="124" t="s">
        <v>213</v>
      </c>
      <c r="G39" s="124" t="s">
        <v>214</v>
      </c>
      <c r="H39" s="124" t="s">
        <v>305</v>
      </c>
      <c r="I39" s="124" t="s">
        <v>289</v>
      </c>
      <c r="J39" s="124" t="s">
        <v>123</v>
      </c>
      <c r="K39" s="124" t="s">
        <v>155</v>
      </c>
      <c r="L39" s="124" t="s">
        <v>306</v>
      </c>
      <c r="M39" s="126">
        <v>6930</v>
      </c>
      <c r="N39" s="126">
        <v>11330</v>
      </c>
      <c r="O39" s="124" t="s">
        <v>265</v>
      </c>
      <c r="P39" s="127" t="s">
        <v>307</v>
      </c>
      <c r="Q39" s="151" t="s">
        <v>1093</v>
      </c>
      <c r="R39" s="127">
        <f t="shared" si="2"/>
        <v>20790</v>
      </c>
      <c r="S39" s="127"/>
      <c r="T39" s="127"/>
      <c r="U39" s="127"/>
      <c r="V39" s="127"/>
      <c r="W39" s="128">
        <v>1</v>
      </c>
      <c r="X39" s="129">
        <f>5</f>
        <v>5</v>
      </c>
    </row>
    <row r="40" spans="1:24" s="129" customFormat="1" ht="30.75" thickBot="1" x14ac:dyDescent="0.3">
      <c r="A40" s="145" t="s">
        <v>308</v>
      </c>
      <c r="B40" s="123">
        <f t="shared" si="1"/>
        <v>21</v>
      </c>
      <c r="C40" s="124"/>
      <c r="D40" s="125" t="s">
        <v>309</v>
      </c>
      <c r="E40" s="124" t="s">
        <v>27</v>
      </c>
      <c r="F40" s="124" t="s">
        <v>213</v>
      </c>
      <c r="G40" s="124" t="s">
        <v>214</v>
      </c>
      <c r="H40" s="124" t="s">
        <v>310</v>
      </c>
      <c r="I40" s="124" t="s">
        <v>289</v>
      </c>
      <c r="J40" s="124" t="s">
        <v>123</v>
      </c>
      <c r="K40" s="124" t="s">
        <v>295</v>
      </c>
      <c r="L40" s="124" t="s">
        <v>311</v>
      </c>
      <c r="M40" s="126">
        <v>6930</v>
      </c>
      <c r="N40" s="126">
        <v>11330</v>
      </c>
      <c r="O40" s="124" t="s">
        <v>265</v>
      </c>
      <c r="P40" s="127" t="s">
        <v>312</v>
      </c>
      <c r="Q40" s="151" t="s">
        <v>1093</v>
      </c>
      <c r="R40" s="127">
        <f t="shared" si="2"/>
        <v>20790</v>
      </c>
      <c r="S40" s="127"/>
      <c r="T40" s="127"/>
      <c r="U40" s="127"/>
      <c r="V40" s="127"/>
      <c r="W40" s="128">
        <v>1</v>
      </c>
      <c r="X40" s="129">
        <f>9</f>
        <v>9</v>
      </c>
    </row>
    <row r="41" spans="1:24" s="129" customFormat="1" ht="30.75" thickBot="1" x14ac:dyDescent="0.3">
      <c r="A41" s="145" t="s">
        <v>313</v>
      </c>
      <c r="B41" s="123">
        <f t="shared" si="1"/>
        <v>22</v>
      </c>
      <c r="C41" s="124"/>
      <c r="D41" s="125" t="s">
        <v>314</v>
      </c>
      <c r="E41" s="124" t="s">
        <v>27</v>
      </c>
      <c r="F41" s="124" t="s">
        <v>213</v>
      </c>
      <c r="G41" s="124" t="s">
        <v>214</v>
      </c>
      <c r="H41" s="124" t="s">
        <v>315</v>
      </c>
      <c r="I41" s="124" t="s">
        <v>289</v>
      </c>
      <c r="J41" s="124" t="s">
        <v>123</v>
      </c>
      <c r="K41" s="124" t="s">
        <v>155</v>
      </c>
      <c r="L41" s="124" t="s">
        <v>311</v>
      </c>
      <c r="M41" s="126">
        <v>6930</v>
      </c>
      <c r="N41" s="126">
        <v>11330</v>
      </c>
      <c r="O41" s="124" t="s">
        <v>265</v>
      </c>
      <c r="P41" s="152" t="s">
        <v>316</v>
      </c>
      <c r="Q41" s="151" t="s">
        <v>1093</v>
      </c>
      <c r="R41" s="152">
        <f t="shared" si="2"/>
        <v>20790</v>
      </c>
      <c r="S41" s="152"/>
      <c r="T41" s="152"/>
      <c r="U41" s="152"/>
      <c r="V41" s="152"/>
      <c r="W41" s="128">
        <v>1</v>
      </c>
    </row>
    <row r="42" spans="1:24" s="129" customFormat="1" ht="30.75" thickBot="1" x14ac:dyDescent="0.3">
      <c r="A42" s="131" t="s">
        <v>317</v>
      </c>
      <c r="B42" s="123">
        <f t="shared" si="1"/>
        <v>23</v>
      </c>
      <c r="C42" s="124"/>
      <c r="D42" s="125" t="s">
        <v>318</v>
      </c>
      <c r="E42" s="124" t="s">
        <v>27</v>
      </c>
      <c r="F42" s="124" t="s">
        <v>213</v>
      </c>
      <c r="G42" s="124" t="s">
        <v>214</v>
      </c>
      <c r="H42" s="124" t="s">
        <v>319</v>
      </c>
      <c r="I42" s="124" t="s">
        <v>289</v>
      </c>
      <c r="J42" s="124" t="s">
        <v>123</v>
      </c>
      <c r="K42" s="124" t="s">
        <v>295</v>
      </c>
      <c r="L42" s="124" t="s">
        <v>320</v>
      </c>
      <c r="M42" s="126">
        <v>6930</v>
      </c>
      <c r="N42" s="126">
        <v>11330</v>
      </c>
      <c r="O42" s="124" t="s">
        <v>265</v>
      </c>
      <c r="P42" s="127" t="s">
        <v>321</v>
      </c>
      <c r="Q42" s="151" t="s">
        <v>1093</v>
      </c>
      <c r="R42" s="127">
        <f t="shared" si="2"/>
        <v>20790</v>
      </c>
      <c r="S42" s="127"/>
      <c r="T42" s="127"/>
      <c r="U42" s="127"/>
      <c r="V42" s="127"/>
      <c r="W42" s="128">
        <v>1</v>
      </c>
      <c r="X42" s="129">
        <f>10</f>
        <v>10</v>
      </c>
    </row>
    <row r="43" spans="1:24" s="129" customFormat="1" ht="30.75" thickBot="1" x14ac:dyDescent="0.3">
      <c r="A43" s="131" t="s">
        <v>322</v>
      </c>
      <c r="B43" s="123">
        <f t="shared" si="1"/>
        <v>24</v>
      </c>
      <c r="C43" s="124"/>
      <c r="D43" s="125" t="s">
        <v>323</v>
      </c>
      <c r="E43" s="124" t="s">
        <v>27</v>
      </c>
      <c r="F43" s="124"/>
      <c r="G43" s="124" t="s">
        <v>214</v>
      </c>
      <c r="H43" s="124">
        <v>130531998</v>
      </c>
      <c r="I43" s="124" t="s">
        <v>324</v>
      </c>
      <c r="J43" s="124" t="s">
        <v>123</v>
      </c>
      <c r="K43" s="124" t="s">
        <v>325</v>
      </c>
      <c r="L43" s="124"/>
      <c r="M43" s="126">
        <v>6000</v>
      </c>
      <c r="N43" s="153">
        <v>10000</v>
      </c>
      <c r="O43" s="124"/>
      <c r="P43" s="154"/>
      <c r="Q43" s="154" t="s">
        <v>1094</v>
      </c>
      <c r="R43" s="154"/>
      <c r="S43" s="154"/>
      <c r="T43" s="154"/>
      <c r="U43" s="154"/>
      <c r="V43" s="154"/>
      <c r="W43" s="128">
        <v>1</v>
      </c>
      <c r="X43" s="129">
        <f>2</f>
        <v>2</v>
      </c>
    </row>
    <row r="44" spans="1:24" s="129" customFormat="1" x14ac:dyDescent="0.25">
      <c r="A44" s="145" t="s">
        <v>326</v>
      </c>
      <c r="B44" s="123">
        <f t="shared" si="1"/>
        <v>25</v>
      </c>
      <c r="C44" s="124"/>
      <c r="D44" s="125" t="s">
        <v>327</v>
      </c>
      <c r="E44" s="124"/>
      <c r="F44" s="124"/>
      <c r="G44" s="124" t="s">
        <v>57</v>
      </c>
      <c r="H44" s="124" t="s">
        <v>328</v>
      </c>
      <c r="I44" s="124" t="s">
        <v>177</v>
      </c>
      <c r="J44" s="124" t="s">
        <v>178</v>
      </c>
      <c r="K44" s="124" t="s">
        <v>155</v>
      </c>
      <c r="L44" s="124"/>
      <c r="M44" s="133">
        <v>6000</v>
      </c>
      <c r="N44" s="126">
        <v>10000</v>
      </c>
      <c r="O44" s="124"/>
      <c r="P44" s="134">
        <v>1408865430</v>
      </c>
      <c r="Q44" s="134" t="s">
        <v>1084</v>
      </c>
      <c r="R44" s="134"/>
      <c r="S44" s="134"/>
      <c r="T44" s="134"/>
      <c r="U44" s="134"/>
      <c r="V44" s="134"/>
      <c r="W44" s="135">
        <v>1</v>
      </c>
      <c r="X44" s="129">
        <f>7</f>
        <v>7</v>
      </c>
    </row>
    <row r="45" spans="1:24" ht="15.75" thickBot="1" x14ac:dyDescent="0.3">
      <c r="A45" s="317" t="s">
        <v>329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8"/>
      <c r="P45" s="155"/>
      <c r="Q45" s="155"/>
      <c r="R45" s="155"/>
      <c r="S45" s="155"/>
      <c r="T45" s="155"/>
      <c r="U45" s="155"/>
      <c r="V45" s="155"/>
      <c r="W45" s="114"/>
    </row>
    <row r="46" spans="1:24" ht="76.5" x14ac:dyDescent="0.25">
      <c r="A46" s="156" t="s">
        <v>330</v>
      </c>
      <c r="B46" s="120">
        <v>1</v>
      </c>
      <c r="C46" s="86"/>
      <c r="D46" s="86" t="s">
        <v>69</v>
      </c>
      <c r="E46" s="86"/>
      <c r="F46" s="86"/>
      <c r="G46" s="86" t="s">
        <v>331</v>
      </c>
      <c r="H46" s="86" t="s">
        <v>332</v>
      </c>
      <c r="I46" s="86" t="s">
        <v>72</v>
      </c>
      <c r="J46" s="86" t="s">
        <v>178</v>
      </c>
      <c r="K46" s="86" t="s">
        <v>333</v>
      </c>
      <c r="L46" s="157" t="s">
        <v>334</v>
      </c>
      <c r="M46" s="158">
        <v>15000</v>
      </c>
      <c r="N46" s="121">
        <v>25000</v>
      </c>
      <c r="O46" s="86"/>
      <c r="P46" s="159" t="s">
        <v>335</v>
      </c>
      <c r="Q46" s="208" t="s">
        <v>95</v>
      </c>
      <c r="R46" s="159"/>
      <c r="S46" s="159"/>
      <c r="T46" s="159"/>
      <c r="U46" s="159"/>
      <c r="V46" s="159"/>
      <c r="W46" s="114"/>
    </row>
    <row r="47" spans="1:24" ht="15.75" thickBot="1" x14ac:dyDescent="0.3">
      <c r="A47" s="328" t="s">
        <v>336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9"/>
      <c r="P47" s="155"/>
      <c r="Q47" s="155"/>
      <c r="R47" s="155"/>
      <c r="S47" s="155"/>
      <c r="T47" s="155"/>
      <c r="U47" s="155"/>
      <c r="V47" s="155"/>
      <c r="W47" s="114"/>
    </row>
    <row r="48" spans="1:24" s="129" customFormat="1" ht="30.75" thickBot="1" x14ac:dyDescent="0.3">
      <c r="A48" s="122" t="s">
        <v>337</v>
      </c>
      <c r="B48" s="123">
        <v>1</v>
      </c>
      <c r="C48" s="124"/>
      <c r="D48" s="125" t="s">
        <v>338</v>
      </c>
      <c r="E48" s="124"/>
      <c r="F48" s="124"/>
      <c r="G48" s="124" t="s">
        <v>339</v>
      </c>
      <c r="H48" s="124" t="s">
        <v>340</v>
      </c>
      <c r="I48" s="124" t="s">
        <v>177</v>
      </c>
      <c r="J48" s="124" t="s">
        <v>178</v>
      </c>
      <c r="K48" s="124" t="s">
        <v>155</v>
      </c>
      <c r="L48" s="124"/>
      <c r="M48" s="133">
        <v>13200</v>
      </c>
      <c r="N48" s="126">
        <v>22000</v>
      </c>
      <c r="O48" s="124"/>
      <c r="P48" s="127">
        <v>1918165570</v>
      </c>
      <c r="Q48" s="134" t="s">
        <v>1084</v>
      </c>
      <c r="R48" s="127"/>
      <c r="S48" s="127"/>
      <c r="T48" s="127"/>
      <c r="U48" s="127"/>
      <c r="V48" s="127"/>
      <c r="W48" s="128">
        <v>1</v>
      </c>
      <c r="X48" s="129">
        <f>1</f>
        <v>1</v>
      </c>
    </row>
    <row r="49" spans="1:24" s="129" customFormat="1" ht="30" x14ac:dyDescent="0.25">
      <c r="A49" s="122" t="s">
        <v>341</v>
      </c>
      <c r="B49" s="123">
        <v>2</v>
      </c>
      <c r="C49" s="124"/>
      <c r="D49" s="125" t="s">
        <v>342</v>
      </c>
      <c r="E49" s="124"/>
      <c r="F49" s="124"/>
      <c r="G49" s="124" t="s">
        <v>343</v>
      </c>
      <c r="H49" s="124" t="s">
        <v>344</v>
      </c>
      <c r="I49" s="124" t="s">
        <v>177</v>
      </c>
      <c r="J49" s="124" t="s">
        <v>178</v>
      </c>
      <c r="K49" s="124" t="s">
        <v>155</v>
      </c>
      <c r="L49" s="124"/>
      <c r="M49" s="133">
        <v>13200</v>
      </c>
      <c r="N49" s="126">
        <v>22000</v>
      </c>
      <c r="O49" s="124"/>
      <c r="P49" s="134">
        <v>1715376576</v>
      </c>
      <c r="Q49" s="134" t="s">
        <v>1084</v>
      </c>
      <c r="R49" s="134"/>
      <c r="S49" s="134"/>
      <c r="T49" s="134"/>
      <c r="U49" s="134"/>
      <c r="V49" s="134"/>
      <c r="W49" s="128">
        <v>1</v>
      </c>
      <c r="X49" s="129">
        <f>10</f>
        <v>10</v>
      </c>
    </row>
    <row r="50" spans="1:24" s="144" customFormat="1" ht="15.75" thickBot="1" x14ac:dyDescent="0.3">
      <c r="A50" s="332" t="s">
        <v>345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4"/>
      <c r="P50" s="160"/>
      <c r="Q50" s="160"/>
      <c r="R50" s="160"/>
      <c r="S50" s="160"/>
      <c r="T50" s="160"/>
      <c r="U50" s="160"/>
      <c r="V50" s="160"/>
      <c r="W50" s="161"/>
    </row>
    <row r="51" spans="1:24" s="129" customFormat="1" ht="45.75" thickBot="1" x14ac:dyDescent="0.3">
      <c r="A51" s="122" t="s">
        <v>346</v>
      </c>
      <c r="B51" s="123">
        <v>1</v>
      </c>
      <c r="C51" s="124"/>
      <c r="D51" s="125" t="s">
        <v>347</v>
      </c>
      <c r="E51" s="124" t="s">
        <v>348</v>
      </c>
      <c r="F51" s="124" t="s">
        <v>349</v>
      </c>
      <c r="G51" s="124" t="s">
        <v>350</v>
      </c>
      <c r="H51" s="124" t="s">
        <v>351</v>
      </c>
      <c r="I51" s="124" t="s">
        <v>352</v>
      </c>
      <c r="J51" s="124" t="s">
        <v>123</v>
      </c>
      <c r="K51" s="124" t="s">
        <v>353</v>
      </c>
      <c r="L51" s="124" t="s">
        <v>354</v>
      </c>
      <c r="M51" s="126">
        <v>9632.6999999999989</v>
      </c>
      <c r="N51" s="126">
        <v>15748.699999999997</v>
      </c>
      <c r="O51" s="124"/>
      <c r="P51" s="127" t="s">
        <v>355</v>
      </c>
      <c r="Q51" s="127" t="s">
        <v>1095</v>
      </c>
      <c r="R51" s="127">
        <f>M51*9</f>
        <v>86694.299999999988</v>
      </c>
      <c r="S51" s="127"/>
      <c r="T51" s="127"/>
      <c r="U51" s="127"/>
      <c r="V51" s="127"/>
      <c r="W51" s="128">
        <v>1</v>
      </c>
    </row>
    <row r="52" spans="1:24" s="129" customFormat="1" ht="45.75" thickBot="1" x14ac:dyDescent="0.3">
      <c r="A52" s="122" t="s">
        <v>356</v>
      </c>
      <c r="B52" s="123">
        <v>2</v>
      </c>
      <c r="C52" s="124"/>
      <c r="D52" s="125" t="s">
        <v>357</v>
      </c>
      <c r="E52" s="124" t="s">
        <v>348</v>
      </c>
      <c r="F52" s="124" t="s">
        <v>349</v>
      </c>
      <c r="G52" s="124" t="s">
        <v>350</v>
      </c>
      <c r="H52" s="124" t="s">
        <v>358</v>
      </c>
      <c r="I52" s="124" t="s">
        <v>359</v>
      </c>
      <c r="J52" s="124" t="s">
        <v>123</v>
      </c>
      <c r="K52" s="124" t="s">
        <v>141</v>
      </c>
      <c r="L52" s="124" t="s">
        <v>360</v>
      </c>
      <c r="M52" s="126">
        <v>6930</v>
      </c>
      <c r="N52" s="126">
        <v>11330</v>
      </c>
      <c r="O52" s="124"/>
      <c r="P52" s="127" t="s">
        <v>361</v>
      </c>
      <c r="Q52" s="127" t="s">
        <v>1096</v>
      </c>
      <c r="R52" s="127">
        <f>M52*5</f>
        <v>34650</v>
      </c>
      <c r="S52" s="127"/>
      <c r="T52" s="127"/>
      <c r="U52" s="127"/>
      <c r="V52" s="127"/>
      <c r="W52" s="128">
        <v>1</v>
      </c>
    </row>
    <row r="53" spans="1:24" s="129" customFormat="1" ht="45" x14ac:dyDescent="0.25">
      <c r="A53" s="122" t="s">
        <v>362</v>
      </c>
      <c r="B53" s="123">
        <v>3</v>
      </c>
      <c r="C53" s="124"/>
      <c r="D53" s="125" t="s">
        <v>363</v>
      </c>
      <c r="E53" s="124" t="s">
        <v>364</v>
      </c>
      <c r="F53" s="124" t="s">
        <v>364</v>
      </c>
      <c r="G53" s="124" t="s">
        <v>350</v>
      </c>
      <c r="H53" s="124">
        <v>26.101987999999999</v>
      </c>
      <c r="I53" s="124" t="s">
        <v>365</v>
      </c>
      <c r="J53" s="124" t="s">
        <v>123</v>
      </c>
      <c r="K53" s="124" t="s">
        <v>366</v>
      </c>
      <c r="L53" s="124" t="s">
        <v>367</v>
      </c>
      <c r="M53" s="126">
        <f>N53*60%</f>
        <v>9000</v>
      </c>
      <c r="N53" s="126">
        <v>15000</v>
      </c>
      <c r="O53" s="124"/>
      <c r="P53" s="127" t="s">
        <v>368</v>
      </c>
      <c r="Q53" s="127" t="s">
        <v>1097</v>
      </c>
      <c r="R53" s="127"/>
      <c r="S53" s="127"/>
      <c r="T53" s="127"/>
      <c r="U53" s="127"/>
      <c r="V53" s="127"/>
      <c r="W53" s="128">
        <v>1</v>
      </c>
      <c r="X53" s="129">
        <f>14</f>
        <v>14</v>
      </c>
    </row>
    <row r="54" spans="1:24" ht="15.75" thickBot="1" x14ac:dyDescent="0.3">
      <c r="A54" s="317" t="s">
        <v>369</v>
      </c>
      <c r="B54" s="313"/>
      <c r="C54" s="313"/>
      <c r="D54" s="313"/>
      <c r="E54" s="313"/>
      <c r="F54" s="313"/>
      <c r="G54" s="313"/>
      <c r="H54" s="313"/>
      <c r="I54" s="313"/>
      <c r="J54" s="313"/>
      <c r="K54" s="313"/>
      <c r="L54" s="313"/>
      <c r="M54" s="313"/>
      <c r="N54" s="313"/>
      <c r="O54" s="318"/>
      <c r="P54" s="155"/>
      <c r="Q54" s="155"/>
      <c r="R54" s="155"/>
      <c r="S54" s="155"/>
      <c r="T54" s="155"/>
      <c r="U54" s="155"/>
      <c r="V54" s="155"/>
      <c r="W54" s="114"/>
    </row>
    <row r="55" spans="1:24" s="129" customFormat="1" ht="30.75" thickBot="1" x14ac:dyDescent="0.3">
      <c r="A55" s="122" t="s">
        <v>370</v>
      </c>
      <c r="B55" s="123">
        <v>1</v>
      </c>
      <c r="C55" s="124"/>
      <c r="D55" s="125" t="s">
        <v>371</v>
      </c>
      <c r="E55" s="124" t="s">
        <v>372</v>
      </c>
      <c r="F55" s="124" t="s">
        <v>373</v>
      </c>
      <c r="G55" s="124"/>
      <c r="H55" s="124" t="s">
        <v>374</v>
      </c>
      <c r="I55" s="124" t="s">
        <v>375</v>
      </c>
      <c r="J55" s="124" t="s">
        <v>123</v>
      </c>
      <c r="K55" s="124" t="s">
        <v>124</v>
      </c>
      <c r="L55" s="124" t="s">
        <v>376</v>
      </c>
      <c r="M55" s="126">
        <v>11976.010199999999</v>
      </c>
      <c r="N55" s="126">
        <v>19579.826199999996</v>
      </c>
      <c r="O55" s="124"/>
      <c r="P55" s="127"/>
      <c r="Q55" s="127" t="s">
        <v>1098</v>
      </c>
      <c r="R55" s="127">
        <f>M55*13</f>
        <v>155688.13259999998</v>
      </c>
      <c r="S55" s="127"/>
      <c r="T55" s="127"/>
      <c r="U55" s="127"/>
      <c r="V55" s="127"/>
      <c r="W55" s="128">
        <v>1</v>
      </c>
    </row>
    <row r="56" spans="1:24" s="129" customFormat="1" ht="30" x14ac:dyDescent="0.25">
      <c r="A56" s="122" t="s">
        <v>377</v>
      </c>
      <c r="B56" s="123">
        <v>2</v>
      </c>
      <c r="C56" s="124"/>
      <c r="D56" s="125" t="s">
        <v>378</v>
      </c>
      <c r="E56" s="124" t="s">
        <v>379</v>
      </c>
      <c r="F56" s="124" t="s">
        <v>380</v>
      </c>
      <c r="G56" s="124" t="s">
        <v>214</v>
      </c>
      <c r="H56" s="124" t="s">
        <v>381</v>
      </c>
      <c r="I56" s="124" t="s">
        <v>382</v>
      </c>
      <c r="J56" s="124" t="s">
        <v>123</v>
      </c>
      <c r="K56" s="124" t="s">
        <v>383</v>
      </c>
      <c r="L56" s="124" t="s">
        <v>384</v>
      </c>
      <c r="M56" s="126">
        <v>8864.4959999999992</v>
      </c>
      <c r="N56" s="126">
        <v>14774.16</v>
      </c>
      <c r="O56" s="124" t="s">
        <v>385</v>
      </c>
      <c r="P56" s="134" t="s">
        <v>386</v>
      </c>
      <c r="Q56" s="134" t="s">
        <v>1099</v>
      </c>
      <c r="R56" s="134">
        <f>M56*12</f>
        <v>106373.95199999999</v>
      </c>
      <c r="S56" s="134"/>
      <c r="T56" s="134"/>
      <c r="U56" s="134"/>
      <c r="V56" s="134"/>
      <c r="W56" s="135">
        <v>1</v>
      </c>
    </row>
    <row r="57" spans="1:24" s="144" customFormat="1" ht="15.75" thickBot="1" x14ac:dyDescent="0.3">
      <c r="A57" s="310" t="s">
        <v>387</v>
      </c>
      <c r="B57" s="311"/>
      <c r="C57" s="311"/>
      <c r="D57" s="311"/>
      <c r="E57" s="311"/>
      <c r="F57" s="311"/>
      <c r="G57" s="311"/>
      <c r="H57" s="311"/>
      <c r="I57" s="311"/>
      <c r="J57" s="311"/>
      <c r="K57" s="311"/>
      <c r="L57" s="311"/>
      <c r="M57" s="311"/>
      <c r="N57" s="311"/>
      <c r="O57" s="312"/>
      <c r="P57" s="160"/>
      <c r="Q57" s="160"/>
      <c r="R57" s="160"/>
      <c r="S57" s="160"/>
      <c r="T57" s="160"/>
      <c r="U57" s="160"/>
      <c r="V57" s="160"/>
      <c r="W57" s="161"/>
    </row>
    <row r="58" spans="1:24" s="129" customFormat="1" ht="30.75" thickBot="1" x14ac:dyDescent="0.3">
      <c r="A58" s="131" t="s">
        <v>388</v>
      </c>
      <c r="B58" s="123">
        <v>1</v>
      </c>
      <c r="C58" s="124"/>
      <c r="D58" s="125" t="s">
        <v>389</v>
      </c>
      <c r="E58" s="124" t="s">
        <v>390</v>
      </c>
      <c r="F58" s="124"/>
      <c r="G58" s="124" t="s">
        <v>391</v>
      </c>
      <c r="H58" s="124" t="s">
        <v>392</v>
      </c>
      <c r="I58" s="124" t="s">
        <v>148</v>
      </c>
      <c r="J58" s="124" t="s">
        <v>123</v>
      </c>
      <c r="K58" s="124" t="s">
        <v>393</v>
      </c>
      <c r="L58" s="124" t="s">
        <v>394</v>
      </c>
      <c r="M58" s="126">
        <v>27382.319999999992</v>
      </c>
      <c r="N58" s="126">
        <v>44767.919999999984</v>
      </c>
      <c r="O58" s="124"/>
      <c r="P58" s="127" t="s">
        <v>395</v>
      </c>
      <c r="Q58" s="127" t="s">
        <v>1080</v>
      </c>
      <c r="R58" s="127">
        <f>M58*7</f>
        <v>191676.23999999993</v>
      </c>
      <c r="S58" s="127"/>
      <c r="T58" s="127"/>
      <c r="U58" s="127"/>
      <c r="V58" s="127"/>
      <c r="W58" s="128">
        <v>1</v>
      </c>
    </row>
    <row r="59" spans="1:24" ht="45.75" thickBot="1" x14ac:dyDescent="0.3">
      <c r="A59" s="131" t="s">
        <v>396</v>
      </c>
      <c r="B59" s="120">
        <f t="shared" ref="B59:B66" si="3">B58+1</f>
        <v>2</v>
      </c>
      <c r="C59" s="86"/>
      <c r="D59" s="92" t="s">
        <v>73</v>
      </c>
      <c r="E59" s="86" t="s">
        <v>74</v>
      </c>
      <c r="F59" s="86" t="s">
        <v>373</v>
      </c>
      <c r="G59" s="91" t="s">
        <v>1100</v>
      </c>
      <c r="H59" s="86" t="s">
        <v>397</v>
      </c>
      <c r="I59" s="86" t="s">
        <v>76</v>
      </c>
      <c r="J59" s="86" t="s">
        <v>123</v>
      </c>
      <c r="K59" s="86" t="s">
        <v>217</v>
      </c>
      <c r="L59" s="86" t="s">
        <v>398</v>
      </c>
      <c r="M59" s="121">
        <v>15154.03764</v>
      </c>
      <c r="N59" s="121">
        <v>24775.648840000005</v>
      </c>
      <c r="O59" s="86" t="s">
        <v>399</v>
      </c>
      <c r="P59" s="146" t="s">
        <v>400</v>
      </c>
      <c r="Q59" s="207" t="s">
        <v>96</v>
      </c>
      <c r="R59" s="146">
        <f>M59*22</f>
        <v>333388.82808000001</v>
      </c>
      <c r="S59" s="146"/>
      <c r="T59" s="146"/>
      <c r="U59" s="146"/>
      <c r="V59" s="146"/>
      <c r="W59" s="114"/>
      <c r="X59" s="97">
        <f>2</f>
        <v>2</v>
      </c>
    </row>
    <row r="60" spans="1:24" s="129" customFormat="1" ht="45.75" thickBot="1" x14ac:dyDescent="0.3">
      <c r="A60" s="131" t="s">
        <v>401</v>
      </c>
      <c r="B60" s="123">
        <f t="shared" si="3"/>
        <v>3</v>
      </c>
      <c r="C60" s="124"/>
      <c r="D60" s="125" t="s">
        <v>402</v>
      </c>
      <c r="E60" s="124" t="s">
        <v>403</v>
      </c>
      <c r="F60" s="124" t="s">
        <v>373</v>
      </c>
      <c r="G60" s="124" t="s">
        <v>404</v>
      </c>
      <c r="H60" s="124" t="s">
        <v>405</v>
      </c>
      <c r="I60" s="124" t="s">
        <v>406</v>
      </c>
      <c r="J60" s="124" t="s">
        <v>123</v>
      </c>
      <c r="K60" s="124" t="s">
        <v>201</v>
      </c>
      <c r="L60" s="124" t="s">
        <v>407</v>
      </c>
      <c r="M60" s="126">
        <v>9226.98</v>
      </c>
      <c r="N60" s="126">
        <v>15085.379999999997</v>
      </c>
      <c r="O60" s="124"/>
      <c r="P60" s="127" t="s">
        <v>408</v>
      </c>
      <c r="Q60" s="127" t="s">
        <v>1101</v>
      </c>
      <c r="R60" s="127">
        <f>M60*7</f>
        <v>64588.86</v>
      </c>
      <c r="S60" s="127"/>
      <c r="T60" s="127"/>
      <c r="U60" s="127"/>
      <c r="V60" s="127"/>
      <c r="W60" s="128">
        <v>1</v>
      </c>
    </row>
    <row r="61" spans="1:24" s="129" customFormat="1" ht="30.75" thickBot="1" x14ac:dyDescent="0.3">
      <c r="A61" s="131" t="s">
        <v>409</v>
      </c>
      <c r="B61" s="123">
        <f t="shared" si="3"/>
        <v>4</v>
      </c>
      <c r="C61" s="124"/>
      <c r="D61" s="125" t="s">
        <v>410</v>
      </c>
      <c r="E61" s="124" t="s">
        <v>403</v>
      </c>
      <c r="F61" s="124" t="s">
        <v>373</v>
      </c>
      <c r="G61" s="124" t="s">
        <v>404</v>
      </c>
      <c r="H61" s="124" t="s">
        <v>411</v>
      </c>
      <c r="I61" s="124" t="s">
        <v>406</v>
      </c>
      <c r="J61" s="124" t="s">
        <v>123</v>
      </c>
      <c r="K61" s="124" t="s">
        <v>141</v>
      </c>
      <c r="L61" s="124" t="s">
        <v>412</v>
      </c>
      <c r="M61" s="126">
        <v>9226.98</v>
      </c>
      <c r="N61" s="126">
        <v>15085.379999999997</v>
      </c>
      <c r="O61" s="124"/>
      <c r="P61" s="127" t="s">
        <v>413</v>
      </c>
      <c r="Q61" s="127" t="s">
        <v>1101</v>
      </c>
      <c r="R61" s="127">
        <f>M61*7</f>
        <v>64588.86</v>
      </c>
      <c r="S61" s="127"/>
      <c r="T61" s="127"/>
      <c r="U61" s="127"/>
      <c r="V61" s="127"/>
      <c r="W61" s="128">
        <v>1</v>
      </c>
    </row>
    <row r="62" spans="1:24" s="129" customFormat="1" ht="30.75" thickBot="1" x14ac:dyDescent="0.3">
      <c r="A62" s="131" t="s">
        <v>414</v>
      </c>
      <c r="B62" s="123">
        <f t="shared" si="3"/>
        <v>5</v>
      </c>
      <c r="C62" s="124"/>
      <c r="D62" s="125" t="s">
        <v>415</v>
      </c>
      <c r="E62" s="124" t="s">
        <v>416</v>
      </c>
      <c r="F62" s="124" t="s">
        <v>213</v>
      </c>
      <c r="G62" s="124" t="s">
        <v>417</v>
      </c>
      <c r="H62" s="124" t="s">
        <v>418</v>
      </c>
      <c r="I62" s="124" t="s">
        <v>419</v>
      </c>
      <c r="J62" s="124" t="s">
        <v>123</v>
      </c>
      <c r="K62" s="124" t="s">
        <v>201</v>
      </c>
      <c r="L62" s="124" t="s">
        <v>420</v>
      </c>
      <c r="M62" s="126">
        <v>10657.08</v>
      </c>
      <c r="N62" s="126">
        <v>17423.48</v>
      </c>
      <c r="O62" s="124"/>
      <c r="P62" s="127" t="s">
        <v>421</v>
      </c>
      <c r="Q62" s="127" t="s">
        <v>1102</v>
      </c>
      <c r="R62" s="127">
        <f>M62*5</f>
        <v>53285.4</v>
      </c>
      <c r="S62" s="127"/>
      <c r="T62" s="127"/>
      <c r="U62" s="127"/>
      <c r="V62" s="127"/>
      <c r="W62" s="128">
        <v>1</v>
      </c>
      <c r="X62" s="129">
        <f>3</f>
        <v>3</v>
      </c>
    </row>
    <row r="63" spans="1:24" s="129" customFormat="1" ht="30.75" thickBot="1" x14ac:dyDescent="0.3">
      <c r="A63" s="131" t="s">
        <v>422</v>
      </c>
      <c r="B63" s="123">
        <f t="shared" si="3"/>
        <v>6</v>
      </c>
      <c r="C63" s="124"/>
      <c r="D63" s="125" t="s">
        <v>423</v>
      </c>
      <c r="E63" s="124" t="s">
        <v>424</v>
      </c>
      <c r="F63" s="124" t="s">
        <v>213</v>
      </c>
      <c r="G63" s="124" t="s">
        <v>404</v>
      </c>
      <c r="H63" s="124" t="s">
        <v>425</v>
      </c>
      <c r="I63" s="124" t="s">
        <v>58</v>
      </c>
      <c r="J63" s="124" t="s">
        <v>123</v>
      </c>
      <c r="K63" s="124" t="s">
        <v>217</v>
      </c>
      <c r="L63" s="124" t="s">
        <v>426</v>
      </c>
      <c r="M63" s="126">
        <v>11161.316249999994</v>
      </c>
      <c r="N63" s="126">
        <v>18247.866249999988</v>
      </c>
      <c r="O63" s="124"/>
      <c r="P63" s="127" t="s">
        <v>427</v>
      </c>
      <c r="Q63" s="127" t="s">
        <v>59</v>
      </c>
      <c r="R63" s="127">
        <f>M63*13</f>
        <v>145097.11124999993</v>
      </c>
      <c r="S63" s="127"/>
      <c r="T63" s="127"/>
      <c r="U63" s="127"/>
      <c r="V63" s="127"/>
      <c r="W63" s="128">
        <v>1</v>
      </c>
    </row>
    <row r="64" spans="1:24" s="129" customFormat="1" ht="30.75" thickBot="1" x14ac:dyDescent="0.3">
      <c r="A64" s="131" t="s">
        <v>428</v>
      </c>
      <c r="B64" s="123">
        <f t="shared" si="3"/>
        <v>7</v>
      </c>
      <c r="C64" s="124"/>
      <c r="D64" s="125" t="s">
        <v>429</v>
      </c>
      <c r="E64" s="124" t="s">
        <v>430</v>
      </c>
      <c r="F64" s="124" t="s">
        <v>213</v>
      </c>
      <c r="G64" s="124" t="s">
        <v>431</v>
      </c>
      <c r="H64" s="124" t="s">
        <v>432</v>
      </c>
      <c r="I64" s="124" t="s">
        <v>433</v>
      </c>
      <c r="J64" s="124" t="s">
        <v>123</v>
      </c>
      <c r="K64" s="124" t="s">
        <v>434</v>
      </c>
      <c r="L64" s="124" t="s">
        <v>435</v>
      </c>
      <c r="M64" s="126">
        <v>9258.4799999999977</v>
      </c>
      <c r="N64" s="126">
        <v>15136.879999999996</v>
      </c>
      <c r="O64" s="124"/>
      <c r="P64" s="127" t="s">
        <v>436</v>
      </c>
      <c r="Q64" s="127" t="s">
        <v>1080</v>
      </c>
      <c r="R64" s="127">
        <f>M64*7</f>
        <v>64809.359999999986</v>
      </c>
      <c r="S64" s="127"/>
      <c r="T64" s="127"/>
      <c r="U64" s="127"/>
      <c r="V64" s="127"/>
      <c r="W64" s="128">
        <v>1</v>
      </c>
      <c r="X64" s="129">
        <f>8</f>
        <v>8</v>
      </c>
    </row>
    <row r="65" spans="1:24" s="129" customFormat="1" ht="30.75" thickBot="1" x14ac:dyDescent="0.3">
      <c r="A65" s="131" t="s">
        <v>437</v>
      </c>
      <c r="B65" s="123">
        <f t="shared" si="3"/>
        <v>8</v>
      </c>
      <c r="C65" s="124"/>
      <c r="D65" s="125" t="s">
        <v>438</v>
      </c>
      <c r="E65" s="124" t="s">
        <v>439</v>
      </c>
      <c r="F65" s="124" t="s">
        <v>213</v>
      </c>
      <c r="G65" s="124" t="s">
        <v>431</v>
      </c>
      <c r="H65" s="124" t="s">
        <v>440</v>
      </c>
      <c r="I65" s="124" t="s">
        <v>359</v>
      </c>
      <c r="J65" s="124" t="s">
        <v>123</v>
      </c>
      <c r="K65" s="124" t="s">
        <v>141</v>
      </c>
      <c r="L65" s="124" t="s">
        <v>441</v>
      </c>
      <c r="M65" s="126">
        <v>6381.8999999999987</v>
      </c>
      <c r="N65" s="126">
        <v>10433.899999999998</v>
      </c>
      <c r="O65" s="124"/>
      <c r="P65" s="127" t="s">
        <v>442</v>
      </c>
      <c r="Q65" s="127" t="s">
        <v>1096</v>
      </c>
      <c r="R65" s="127">
        <f>M65*5</f>
        <v>31909.499999999993</v>
      </c>
      <c r="S65" s="127"/>
      <c r="T65" s="127"/>
      <c r="U65" s="127"/>
      <c r="V65" s="127"/>
      <c r="W65" s="128">
        <v>1</v>
      </c>
      <c r="X65" s="129">
        <f>6</f>
        <v>6</v>
      </c>
    </row>
    <row r="66" spans="1:24" s="129" customFormat="1" ht="30" x14ac:dyDescent="0.25">
      <c r="A66" s="131" t="s">
        <v>443</v>
      </c>
      <c r="B66" s="123">
        <f t="shared" si="3"/>
        <v>9</v>
      </c>
      <c r="C66" s="124"/>
      <c r="D66" s="125" t="s">
        <v>444</v>
      </c>
      <c r="E66" s="124" t="s">
        <v>445</v>
      </c>
      <c r="F66" s="124" t="s">
        <v>213</v>
      </c>
      <c r="G66" s="124" t="s">
        <v>446</v>
      </c>
      <c r="H66" s="124" t="s">
        <v>447</v>
      </c>
      <c r="I66" s="124" t="s">
        <v>448</v>
      </c>
      <c r="J66" s="124" t="s">
        <v>123</v>
      </c>
      <c r="K66" s="124" t="s">
        <v>217</v>
      </c>
      <c r="L66" s="124" t="s">
        <v>449</v>
      </c>
      <c r="M66" s="126">
        <v>7560</v>
      </c>
      <c r="N66" s="126">
        <v>12360</v>
      </c>
      <c r="O66" s="124"/>
      <c r="P66" s="162" t="s">
        <v>450</v>
      </c>
      <c r="Q66" s="162" t="s">
        <v>1103</v>
      </c>
      <c r="R66" s="162">
        <f>M66*3</f>
        <v>22680</v>
      </c>
      <c r="S66" s="162"/>
      <c r="T66" s="162"/>
      <c r="U66" s="162"/>
      <c r="V66" s="162"/>
      <c r="W66" s="128">
        <v>1</v>
      </c>
    </row>
    <row r="67" spans="1:24" s="144" customFormat="1" ht="15.75" thickBot="1" x14ac:dyDescent="0.3">
      <c r="A67" s="310" t="s">
        <v>451</v>
      </c>
      <c r="B67" s="311"/>
      <c r="C67" s="311"/>
      <c r="D67" s="311"/>
      <c r="E67" s="311"/>
      <c r="F67" s="311"/>
      <c r="G67" s="311"/>
      <c r="H67" s="311"/>
      <c r="I67" s="311"/>
      <c r="J67" s="311"/>
      <c r="K67" s="311"/>
      <c r="L67" s="311"/>
      <c r="M67" s="311"/>
      <c r="N67" s="311"/>
      <c r="O67" s="312"/>
      <c r="P67" s="160"/>
      <c r="Q67" s="160"/>
      <c r="R67" s="160"/>
      <c r="S67" s="160"/>
      <c r="T67" s="160"/>
      <c r="U67" s="160"/>
      <c r="V67" s="160"/>
      <c r="W67" s="106"/>
    </row>
    <row r="68" spans="1:24" s="129" customFormat="1" ht="30.75" thickBot="1" x14ac:dyDescent="0.3">
      <c r="A68" s="163" t="s">
        <v>452</v>
      </c>
      <c r="B68" s="123">
        <v>1</v>
      </c>
      <c r="C68" s="124"/>
      <c r="D68" s="125" t="s">
        <v>453</v>
      </c>
      <c r="E68" s="124" t="s">
        <v>454</v>
      </c>
      <c r="F68" s="124" t="s">
        <v>349</v>
      </c>
      <c r="G68" s="124" t="s">
        <v>454</v>
      </c>
      <c r="H68" s="124" t="s">
        <v>455</v>
      </c>
      <c r="I68" s="124" t="s">
        <v>456</v>
      </c>
      <c r="J68" s="124" t="s">
        <v>123</v>
      </c>
      <c r="K68" s="124" t="s">
        <v>457</v>
      </c>
      <c r="L68" s="124" t="s">
        <v>458</v>
      </c>
      <c r="M68" s="126">
        <v>8819.9999999999982</v>
      </c>
      <c r="N68" s="126">
        <v>14419.999999999996</v>
      </c>
      <c r="O68" s="124"/>
      <c r="P68" s="164" t="s">
        <v>459</v>
      </c>
      <c r="Q68" s="164" t="s">
        <v>1104</v>
      </c>
      <c r="R68" s="164">
        <f>M68*3</f>
        <v>26459.999999999993</v>
      </c>
      <c r="S68" s="164"/>
      <c r="T68" s="164"/>
      <c r="U68" s="164"/>
      <c r="V68" s="164"/>
      <c r="W68" s="165">
        <v>1</v>
      </c>
      <c r="X68" s="129">
        <f>3</f>
        <v>3</v>
      </c>
    </row>
    <row r="69" spans="1:24" s="129" customFormat="1" ht="30" x14ac:dyDescent="0.25">
      <c r="A69" s="163" t="s">
        <v>460</v>
      </c>
      <c r="B69" s="123">
        <v>2</v>
      </c>
      <c r="C69" s="124"/>
      <c r="D69" s="125" t="s">
        <v>254</v>
      </c>
      <c r="E69" s="124" t="s">
        <v>461</v>
      </c>
      <c r="F69" s="124"/>
      <c r="G69" s="124" t="s">
        <v>461</v>
      </c>
      <c r="H69" s="124" t="s">
        <v>332</v>
      </c>
      <c r="I69" s="124" t="s">
        <v>456</v>
      </c>
      <c r="J69" s="124" t="s">
        <v>123</v>
      </c>
      <c r="K69" s="124" t="s">
        <v>462</v>
      </c>
      <c r="L69" s="124" t="s">
        <v>458</v>
      </c>
      <c r="M69" s="126">
        <v>7560</v>
      </c>
      <c r="N69" s="126">
        <v>12360</v>
      </c>
      <c r="O69" s="124"/>
      <c r="P69" s="154" t="s">
        <v>463</v>
      </c>
      <c r="Q69" s="164" t="s">
        <v>1104</v>
      </c>
      <c r="R69" s="154">
        <f>M69*3</f>
        <v>22680</v>
      </c>
      <c r="S69" s="154"/>
      <c r="T69" s="154"/>
      <c r="U69" s="154"/>
      <c r="V69" s="154"/>
      <c r="W69" s="128">
        <v>1</v>
      </c>
    </row>
    <row r="70" spans="1:24" ht="18" thickBot="1" x14ac:dyDescent="0.35">
      <c r="A70" s="319" t="s">
        <v>464</v>
      </c>
      <c r="B70" s="320"/>
      <c r="C70" s="320"/>
      <c r="D70" s="320"/>
      <c r="E70" s="320"/>
      <c r="F70" s="320"/>
      <c r="G70" s="320"/>
      <c r="H70" s="320"/>
      <c r="I70" s="320"/>
      <c r="J70" s="320"/>
      <c r="K70" s="320"/>
      <c r="L70" s="320"/>
      <c r="M70" s="320"/>
      <c r="N70" s="320"/>
      <c r="O70" s="321"/>
      <c r="P70" s="155"/>
      <c r="Q70" s="155"/>
      <c r="R70" s="155"/>
      <c r="S70" s="155"/>
      <c r="T70" s="155"/>
      <c r="U70" s="155"/>
      <c r="V70" s="155"/>
      <c r="W70" s="114"/>
    </row>
    <row r="71" spans="1:24" s="129" customFormat="1" ht="45.75" thickBot="1" x14ac:dyDescent="0.3">
      <c r="A71" s="122" t="s">
        <v>465</v>
      </c>
      <c r="B71" s="123">
        <v>1</v>
      </c>
      <c r="C71" s="124"/>
      <c r="D71" s="125" t="s">
        <v>466</v>
      </c>
      <c r="E71" s="124" t="s">
        <v>467</v>
      </c>
      <c r="F71" s="124"/>
      <c r="G71" s="124" t="s">
        <v>468</v>
      </c>
      <c r="H71" s="124" t="s">
        <v>469</v>
      </c>
      <c r="I71" s="124" t="s">
        <v>190</v>
      </c>
      <c r="J71" s="124" t="s">
        <v>123</v>
      </c>
      <c r="K71" s="124" t="s">
        <v>155</v>
      </c>
      <c r="L71" s="124" t="s">
        <v>470</v>
      </c>
      <c r="M71" s="126">
        <v>20883.712500000001</v>
      </c>
      <c r="N71" s="126">
        <v>34143.212500000001</v>
      </c>
      <c r="O71" s="124"/>
      <c r="P71" s="127" t="s">
        <v>471</v>
      </c>
      <c r="Q71" s="127" t="s">
        <v>1105</v>
      </c>
      <c r="R71" s="127">
        <f>M71*10</f>
        <v>208837.125</v>
      </c>
      <c r="S71" s="127"/>
      <c r="T71" s="127"/>
      <c r="U71" s="127"/>
      <c r="V71" s="127"/>
      <c r="W71" s="128">
        <v>1</v>
      </c>
    </row>
    <row r="72" spans="1:24" s="129" customFormat="1" x14ac:dyDescent="0.25">
      <c r="A72" s="122" t="s">
        <v>472</v>
      </c>
      <c r="B72" s="123">
        <v>2</v>
      </c>
      <c r="C72" s="166"/>
      <c r="D72" s="125" t="s">
        <v>473</v>
      </c>
      <c r="E72" s="124" t="s">
        <v>120</v>
      </c>
      <c r="F72" s="124"/>
      <c r="G72" s="124" t="s">
        <v>120</v>
      </c>
      <c r="H72" s="124"/>
      <c r="I72" s="124" t="s">
        <v>474</v>
      </c>
      <c r="J72" s="124" t="s">
        <v>178</v>
      </c>
      <c r="K72" s="124" t="s">
        <v>201</v>
      </c>
      <c r="L72" s="166"/>
      <c r="M72" s="167">
        <v>6429</v>
      </c>
      <c r="N72" s="167">
        <v>9000</v>
      </c>
      <c r="O72" s="166"/>
      <c r="P72" s="134"/>
      <c r="Q72" s="134" t="s">
        <v>1106</v>
      </c>
      <c r="R72" s="134"/>
      <c r="S72" s="134"/>
      <c r="T72" s="134"/>
      <c r="U72" s="134"/>
      <c r="V72" s="134"/>
      <c r="W72" s="128">
        <v>1</v>
      </c>
    </row>
    <row r="73" spans="1:24" ht="15.75" thickBot="1" x14ac:dyDescent="0.3">
      <c r="A73" s="322" t="s">
        <v>475</v>
      </c>
      <c r="B73" s="323"/>
      <c r="C73" s="323"/>
      <c r="D73" s="323"/>
      <c r="E73" s="323"/>
      <c r="F73" s="323"/>
      <c r="G73" s="323"/>
      <c r="H73" s="323"/>
      <c r="I73" s="323"/>
      <c r="J73" s="323"/>
      <c r="K73" s="323"/>
      <c r="L73" s="323"/>
      <c r="M73" s="323"/>
      <c r="N73" s="323"/>
      <c r="O73" s="323"/>
      <c r="P73" s="155"/>
      <c r="Q73" s="155"/>
      <c r="R73" s="155"/>
      <c r="S73" s="155"/>
      <c r="T73" s="155"/>
      <c r="U73" s="155"/>
      <c r="V73" s="155"/>
      <c r="W73" s="114"/>
    </row>
    <row r="74" spans="1:24" x14ac:dyDescent="0.2">
      <c r="A74" s="156"/>
      <c r="B74" s="168"/>
      <c r="C74" s="169"/>
      <c r="D74" s="170"/>
      <c r="E74" s="170"/>
      <c r="F74" s="170"/>
      <c r="G74" s="170"/>
      <c r="H74" s="86"/>
      <c r="I74" s="170"/>
      <c r="J74" s="170"/>
      <c r="K74" s="170"/>
      <c r="L74" s="170"/>
      <c r="M74" s="171"/>
      <c r="N74" s="171"/>
      <c r="O74" s="170"/>
      <c r="P74" s="155"/>
      <c r="Q74" s="155"/>
      <c r="R74" s="155"/>
      <c r="S74" s="155"/>
      <c r="T74" s="155"/>
      <c r="U74" s="155"/>
      <c r="V74" s="155"/>
      <c r="W74" s="114"/>
    </row>
    <row r="75" spans="1:24" x14ac:dyDescent="0.25">
      <c r="A75" s="322" t="s">
        <v>476</v>
      </c>
      <c r="B75" s="323"/>
      <c r="C75" s="323"/>
      <c r="D75" s="323"/>
      <c r="E75" s="323"/>
      <c r="F75" s="323"/>
      <c r="G75" s="323"/>
      <c r="H75" s="323"/>
      <c r="I75" s="323"/>
      <c r="J75" s="323"/>
      <c r="K75" s="323"/>
      <c r="L75" s="323"/>
      <c r="M75" s="323"/>
      <c r="N75" s="323"/>
      <c r="O75" s="323"/>
      <c r="P75" s="172"/>
      <c r="Q75" s="172"/>
      <c r="R75" s="233"/>
      <c r="S75" s="172"/>
      <c r="T75" s="172"/>
      <c r="U75" s="172"/>
      <c r="V75" s="172"/>
      <c r="W75" s="173"/>
    </row>
    <row r="76" spans="1:24" s="129" customFormat="1" ht="45" x14ac:dyDescent="0.25">
      <c r="A76" s="174" t="s">
        <v>477</v>
      </c>
      <c r="B76" s="123">
        <v>1</v>
      </c>
      <c r="C76" s="124"/>
      <c r="D76" s="125" t="s">
        <v>478</v>
      </c>
      <c r="E76" s="124" t="s">
        <v>479</v>
      </c>
      <c r="F76" s="124" t="s">
        <v>479</v>
      </c>
      <c r="G76" s="124" t="s">
        <v>480</v>
      </c>
      <c r="H76" s="124" t="s">
        <v>481</v>
      </c>
      <c r="I76" s="124" t="s">
        <v>482</v>
      </c>
      <c r="J76" s="124" t="s">
        <v>483</v>
      </c>
      <c r="K76" s="124" t="s">
        <v>155</v>
      </c>
      <c r="L76" s="124" t="s">
        <v>484</v>
      </c>
      <c r="M76" s="126">
        <f>N76*60%</f>
        <v>12000</v>
      </c>
      <c r="N76" s="126">
        <v>20000</v>
      </c>
      <c r="O76" s="124"/>
      <c r="P76" s="127"/>
      <c r="Q76" s="127" t="s">
        <v>1097</v>
      </c>
      <c r="R76" s="127"/>
      <c r="S76" s="127"/>
      <c r="T76" s="127"/>
      <c r="U76" s="127"/>
      <c r="V76" s="127"/>
      <c r="W76" s="128">
        <v>1</v>
      </c>
    </row>
    <row r="77" spans="1:24" ht="15.75" thickBot="1" x14ac:dyDescent="0.3">
      <c r="A77" s="324" t="s">
        <v>485</v>
      </c>
      <c r="B77" s="325"/>
      <c r="C77" s="325"/>
      <c r="D77" s="325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6"/>
      <c r="P77" s="155"/>
      <c r="Q77" s="155"/>
      <c r="R77" s="155"/>
      <c r="S77" s="155"/>
      <c r="T77" s="155"/>
      <c r="U77" s="155"/>
      <c r="V77" s="155"/>
      <c r="W77" s="114"/>
    </row>
    <row r="78" spans="1:24" x14ac:dyDescent="0.25">
      <c r="A78" s="156"/>
      <c r="B78" s="168"/>
      <c r="C78" s="170"/>
      <c r="D78" s="170"/>
      <c r="E78" s="170"/>
      <c r="F78" s="170"/>
      <c r="G78" s="170"/>
      <c r="H78" s="86"/>
      <c r="I78" s="170"/>
      <c r="J78" s="170"/>
      <c r="K78" s="170"/>
      <c r="L78" s="170"/>
      <c r="M78" s="171"/>
      <c r="N78" s="171"/>
      <c r="O78" s="170"/>
      <c r="P78" s="155"/>
      <c r="Q78" s="155"/>
      <c r="R78" s="155"/>
      <c r="S78" s="155"/>
      <c r="T78" s="155"/>
      <c r="U78" s="155"/>
      <c r="V78" s="155"/>
      <c r="W78" s="114"/>
    </row>
    <row r="79" spans="1:24" ht="15.75" thickBot="1" x14ac:dyDescent="0.3">
      <c r="A79" s="327" t="s">
        <v>486</v>
      </c>
      <c r="B79" s="328"/>
      <c r="C79" s="328"/>
      <c r="D79" s="328"/>
      <c r="E79" s="328"/>
      <c r="F79" s="328"/>
      <c r="G79" s="328"/>
      <c r="H79" s="328"/>
      <c r="I79" s="328"/>
      <c r="J79" s="328"/>
      <c r="K79" s="328"/>
      <c r="L79" s="328"/>
      <c r="M79" s="328"/>
      <c r="N79" s="328"/>
      <c r="O79" s="329"/>
      <c r="P79" s="146"/>
      <c r="Q79" s="146"/>
      <c r="R79" s="146"/>
      <c r="S79" s="146"/>
      <c r="T79" s="146"/>
      <c r="U79" s="146"/>
      <c r="V79" s="146"/>
      <c r="W79" s="114"/>
    </row>
    <row r="80" spans="1:24" s="129" customFormat="1" ht="30.75" thickBot="1" x14ac:dyDescent="0.3">
      <c r="A80" s="131" t="s">
        <v>487</v>
      </c>
      <c r="B80" s="123">
        <v>1</v>
      </c>
      <c r="C80" s="124"/>
      <c r="D80" s="125" t="s">
        <v>488</v>
      </c>
      <c r="E80" s="124" t="s">
        <v>489</v>
      </c>
      <c r="F80" s="124" t="s">
        <v>373</v>
      </c>
      <c r="G80" s="124" t="s">
        <v>490</v>
      </c>
      <c r="H80" s="124" t="s">
        <v>491</v>
      </c>
      <c r="I80" s="124" t="s">
        <v>492</v>
      </c>
      <c r="J80" s="124" t="s">
        <v>483</v>
      </c>
      <c r="K80" s="124" t="s">
        <v>141</v>
      </c>
      <c r="L80" s="124" t="s">
        <v>493</v>
      </c>
      <c r="M80" s="126">
        <v>9450</v>
      </c>
      <c r="N80" s="126">
        <v>15450</v>
      </c>
      <c r="O80" s="124"/>
      <c r="P80" s="127" t="s">
        <v>494</v>
      </c>
      <c r="Q80" s="127" t="s">
        <v>55</v>
      </c>
      <c r="R80" s="127">
        <f>M80*3</f>
        <v>28350</v>
      </c>
      <c r="S80" s="127"/>
      <c r="T80" s="127"/>
      <c r="U80" s="127"/>
      <c r="V80" s="127"/>
      <c r="W80" s="128">
        <v>1</v>
      </c>
    </row>
    <row r="81" spans="1:24" s="129" customFormat="1" ht="30.75" thickBot="1" x14ac:dyDescent="0.3">
      <c r="A81" s="131" t="s">
        <v>495</v>
      </c>
      <c r="B81" s="123">
        <f>B80+1</f>
        <v>2</v>
      </c>
      <c r="C81" s="124"/>
      <c r="D81" s="125" t="s">
        <v>496</v>
      </c>
      <c r="E81" s="124" t="s">
        <v>490</v>
      </c>
      <c r="F81" s="124" t="s">
        <v>373</v>
      </c>
      <c r="G81" s="124" t="s">
        <v>490</v>
      </c>
      <c r="H81" s="124" t="s">
        <v>497</v>
      </c>
      <c r="I81" s="124" t="s">
        <v>498</v>
      </c>
      <c r="J81" s="124" t="s">
        <v>483</v>
      </c>
      <c r="K81" s="124" t="s">
        <v>124</v>
      </c>
      <c r="L81" s="124" t="s">
        <v>499</v>
      </c>
      <c r="M81" s="126">
        <v>10583.999999999998</v>
      </c>
      <c r="N81" s="126">
        <v>17303.999999999996</v>
      </c>
      <c r="O81" s="124"/>
      <c r="P81" s="164" t="s">
        <v>500</v>
      </c>
      <c r="Q81" s="164" t="s">
        <v>1107</v>
      </c>
      <c r="R81" s="164">
        <f>M81*5</f>
        <v>52919.999999999993</v>
      </c>
      <c r="S81" s="164"/>
      <c r="T81" s="164"/>
      <c r="U81" s="164"/>
      <c r="V81" s="164"/>
      <c r="W81" s="128">
        <v>1</v>
      </c>
      <c r="X81" s="236">
        <f>14</f>
        <v>14</v>
      </c>
    </row>
    <row r="82" spans="1:24" s="129" customFormat="1" ht="45.75" thickBot="1" x14ac:dyDescent="0.3">
      <c r="A82" s="131" t="s">
        <v>501</v>
      </c>
      <c r="B82" s="123">
        <f>B81+1</f>
        <v>3</v>
      </c>
      <c r="C82" s="124"/>
      <c r="D82" s="125" t="s">
        <v>502</v>
      </c>
      <c r="E82" s="124" t="s">
        <v>503</v>
      </c>
      <c r="F82" s="124" t="s">
        <v>503</v>
      </c>
      <c r="G82" s="124" t="s">
        <v>490</v>
      </c>
      <c r="H82" s="124" t="s">
        <v>504</v>
      </c>
      <c r="I82" s="124" t="s">
        <v>505</v>
      </c>
      <c r="J82" s="124" t="s">
        <v>483</v>
      </c>
      <c r="K82" s="124" t="s">
        <v>124</v>
      </c>
      <c r="L82" s="124" t="s">
        <v>506</v>
      </c>
      <c r="M82" s="126">
        <f>N82*60%</f>
        <v>9000</v>
      </c>
      <c r="N82" s="126">
        <v>15000</v>
      </c>
      <c r="O82" s="124"/>
      <c r="P82" s="127" t="s">
        <v>507</v>
      </c>
      <c r="Q82" s="127" t="s">
        <v>1108</v>
      </c>
      <c r="R82" s="127"/>
      <c r="S82" s="127"/>
      <c r="T82" s="127"/>
      <c r="U82" s="127"/>
      <c r="V82" s="127"/>
      <c r="W82" s="128">
        <v>1</v>
      </c>
      <c r="X82" s="237">
        <f>14</f>
        <v>14</v>
      </c>
    </row>
    <row r="83" spans="1:24" s="129" customFormat="1" ht="45.75" thickBot="1" x14ac:dyDescent="0.3">
      <c r="A83" s="131" t="s">
        <v>508</v>
      </c>
      <c r="B83" s="123">
        <f>B82+1</f>
        <v>4</v>
      </c>
      <c r="C83" s="124"/>
      <c r="D83" s="125" t="s">
        <v>509</v>
      </c>
      <c r="E83" s="124" t="s">
        <v>510</v>
      </c>
      <c r="F83" s="124" t="s">
        <v>503</v>
      </c>
      <c r="G83" s="124" t="s">
        <v>510</v>
      </c>
      <c r="H83" s="124" t="s">
        <v>511</v>
      </c>
      <c r="I83" s="124" t="s">
        <v>505</v>
      </c>
      <c r="J83" s="124" t="s">
        <v>483</v>
      </c>
      <c r="K83" s="124" t="s">
        <v>155</v>
      </c>
      <c r="L83" s="124" t="s">
        <v>512</v>
      </c>
      <c r="M83" s="126">
        <f>N83*60%</f>
        <v>9000</v>
      </c>
      <c r="N83" s="126">
        <v>15000</v>
      </c>
      <c r="O83" s="124"/>
      <c r="P83" s="127" t="s">
        <v>513</v>
      </c>
      <c r="Q83" s="127" t="s">
        <v>1108</v>
      </c>
      <c r="R83" s="127"/>
      <c r="S83" s="127"/>
      <c r="T83" s="127"/>
      <c r="U83" s="127"/>
      <c r="V83" s="127"/>
      <c r="W83" s="128">
        <v>1</v>
      </c>
      <c r="X83" s="207">
        <f>12</f>
        <v>12</v>
      </c>
    </row>
    <row r="84" spans="1:24" s="129" customFormat="1" x14ac:dyDescent="0.25">
      <c r="A84" s="145" t="s">
        <v>514</v>
      </c>
      <c r="B84" s="123">
        <f>B83+1</f>
        <v>5</v>
      </c>
      <c r="C84" s="124"/>
      <c r="D84" s="125" t="s">
        <v>515</v>
      </c>
      <c r="E84" s="124" t="s">
        <v>516</v>
      </c>
      <c r="F84" s="124"/>
      <c r="G84" s="124" t="s">
        <v>490</v>
      </c>
      <c r="H84" s="124" t="s">
        <v>517</v>
      </c>
      <c r="I84" s="124" t="s">
        <v>46</v>
      </c>
      <c r="J84" s="124" t="s">
        <v>483</v>
      </c>
      <c r="K84" s="124" t="s">
        <v>518</v>
      </c>
      <c r="L84" s="124" t="s">
        <v>519</v>
      </c>
      <c r="M84" s="126">
        <v>10089.399599999999</v>
      </c>
      <c r="N84" s="126">
        <v>16495.367599999998</v>
      </c>
      <c r="O84" s="124"/>
      <c r="P84" s="134" t="s">
        <v>520</v>
      </c>
      <c r="Q84" s="134" t="s">
        <v>1109</v>
      </c>
      <c r="R84" s="134">
        <f>M84*13</f>
        <v>131162.1948</v>
      </c>
      <c r="S84" s="134"/>
      <c r="T84" s="134"/>
      <c r="U84" s="134"/>
      <c r="V84" s="134"/>
      <c r="W84" s="128">
        <v>1</v>
      </c>
      <c r="X84" s="237">
        <f>6</f>
        <v>6</v>
      </c>
    </row>
    <row r="85" spans="1:24" ht="15.75" thickBot="1" x14ac:dyDescent="0.3">
      <c r="A85" s="324" t="s">
        <v>521</v>
      </c>
      <c r="B85" s="325"/>
      <c r="C85" s="325"/>
      <c r="D85" s="325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6"/>
      <c r="P85" s="155"/>
      <c r="Q85" s="155"/>
      <c r="R85" s="155"/>
      <c r="S85" s="155"/>
      <c r="T85" s="155"/>
      <c r="U85" s="155"/>
      <c r="V85" s="155"/>
      <c r="W85" s="114"/>
    </row>
    <row r="86" spans="1:24" x14ac:dyDescent="0.25">
      <c r="A86" s="156"/>
      <c r="B86" s="168"/>
      <c r="D86" s="170"/>
      <c r="E86" s="170"/>
      <c r="F86" s="170"/>
      <c r="G86" s="170"/>
      <c r="H86" s="86"/>
      <c r="I86" s="170"/>
      <c r="J86" s="170"/>
      <c r="K86" s="170"/>
      <c r="L86" s="170"/>
      <c r="M86" s="171"/>
      <c r="N86" s="171"/>
      <c r="O86" s="170"/>
      <c r="P86" s="155"/>
      <c r="Q86" s="155"/>
      <c r="R86" s="155"/>
      <c r="S86" s="155"/>
      <c r="T86" s="155"/>
      <c r="U86" s="155"/>
      <c r="V86" s="155"/>
      <c r="W86" s="114"/>
    </row>
    <row r="87" spans="1:24" ht="15.75" thickBot="1" x14ac:dyDescent="0.3">
      <c r="A87" s="327" t="s">
        <v>522</v>
      </c>
      <c r="B87" s="328"/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9"/>
      <c r="P87" s="155"/>
      <c r="Q87" s="155"/>
      <c r="R87" s="155"/>
      <c r="S87" s="155"/>
      <c r="T87" s="155"/>
      <c r="U87" s="155"/>
      <c r="V87" s="155"/>
      <c r="W87" s="114"/>
    </row>
    <row r="88" spans="1:24" s="129" customFormat="1" ht="45" x14ac:dyDescent="0.25">
      <c r="A88" s="122" t="s">
        <v>523</v>
      </c>
      <c r="B88" s="123">
        <v>1</v>
      </c>
      <c r="C88" s="124"/>
      <c r="D88" s="125" t="s">
        <v>524</v>
      </c>
      <c r="E88" s="124" t="s">
        <v>525</v>
      </c>
      <c r="F88" s="124" t="s">
        <v>525</v>
      </c>
      <c r="G88" s="124" t="s">
        <v>526</v>
      </c>
      <c r="H88" s="124" t="s">
        <v>527</v>
      </c>
      <c r="I88" s="124" t="s">
        <v>528</v>
      </c>
      <c r="J88" s="124" t="s">
        <v>483</v>
      </c>
      <c r="K88" s="124" t="s">
        <v>141</v>
      </c>
      <c r="L88" s="124" t="s">
        <v>529</v>
      </c>
      <c r="M88" s="126">
        <f>N88*60%</f>
        <v>13200</v>
      </c>
      <c r="N88" s="126">
        <v>22000</v>
      </c>
      <c r="O88" s="124"/>
      <c r="P88" s="127" t="s">
        <v>530</v>
      </c>
      <c r="Q88" s="127" t="s">
        <v>1110</v>
      </c>
      <c r="R88" s="127"/>
      <c r="S88" s="127"/>
      <c r="T88" s="127"/>
      <c r="U88" s="127"/>
      <c r="V88" s="127"/>
      <c r="W88" s="128">
        <v>1</v>
      </c>
    </row>
    <row r="89" spans="1:24" s="144" customFormat="1" x14ac:dyDescent="0.25">
      <c r="A89" s="330" t="s">
        <v>531</v>
      </c>
      <c r="B89" s="331"/>
      <c r="C89" s="331"/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172"/>
      <c r="Q89" s="172"/>
      <c r="R89" s="233"/>
      <c r="S89" s="172"/>
      <c r="T89" s="172"/>
      <c r="U89" s="172"/>
      <c r="V89" s="172"/>
      <c r="W89" s="173"/>
    </row>
    <row r="90" spans="1:24" s="179" customFormat="1" x14ac:dyDescent="0.25">
      <c r="A90" s="175" t="s">
        <v>532</v>
      </c>
      <c r="B90" s="123">
        <v>1</v>
      </c>
      <c r="C90" s="176"/>
      <c r="D90" s="125" t="s">
        <v>533</v>
      </c>
      <c r="E90" s="124" t="s">
        <v>534</v>
      </c>
      <c r="F90" s="124"/>
      <c r="G90" s="124" t="s">
        <v>534</v>
      </c>
      <c r="H90" s="124"/>
      <c r="I90" s="124" t="s">
        <v>535</v>
      </c>
      <c r="J90" s="124" t="s">
        <v>178</v>
      </c>
      <c r="K90" s="124" t="s">
        <v>536</v>
      </c>
      <c r="L90" s="124"/>
      <c r="M90" s="126">
        <f>N90*60%</f>
        <v>15000</v>
      </c>
      <c r="N90" s="126">
        <v>25000</v>
      </c>
      <c r="O90" s="124"/>
      <c r="P90" s="124"/>
      <c r="Q90" s="177" t="s">
        <v>1111</v>
      </c>
      <c r="R90" s="177"/>
      <c r="S90" s="177"/>
      <c r="T90" s="177"/>
      <c r="U90" s="177"/>
      <c r="V90" s="177"/>
      <c r="W90" s="178">
        <v>1</v>
      </c>
    </row>
    <row r="91" spans="1:24" s="129" customFormat="1" ht="30" x14ac:dyDescent="0.25">
      <c r="A91" s="175" t="s">
        <v>537</v>
      </c>
      <c r="B91" s="123">
        <f>B90+1</f>
        <v>2</v>
      </c>
      <c r="C91" s="124"/>
      <c r="D91" s="125" t="s">
        <v>538</v>
      </c>
      <c r="E91" s="124" t="s">
        <v>539</v>
      </c>
      <c r="F91" s="124" t="s">
        <v>539</v>
      </c>
      <c r="G91" s="124" t="s">
        <v>540</v>
      </c>
      <c r="H91" s="124" t="s">
        <v>541</v>
      </c>
      <c r="I91" s="124" t="s">
        <v>542</v>
      </c>
      <c r="J91" s="124" t="s">
        <v>123</v>
      </c>
      <c r="K91" s="124" t="s">
        <v>536</v>
      </c>
      <c r="L91" s="124" t="s">
        <v>543</v>
      </c>
      <c r="M91" s="126">
        <f>N91*60%</f>
        <v>15000</v>
      </c>
      <c r="N91" s="126">
        <v>25000</v>
      </c>
      <c r="O91" s="124"/>
      <c r="P91" s="127" t="s">
        <v>544</v>
      </c>
      <c r="Q91" s="127" t="s">
        <v>1112</v>
      </c>
      <c r="R91" s="127"/>
      <c r="S91" s="127"/>
      <c r="T91" s="127"/>
      <c r="U91" s="127"/>
      <c r="V91" s="127"/>
      <c r="W91" s="128">
        <v>1</v>
      </c>
    </row>
    <row r="92" spans="1:24" s="129" customFormat="1" x14ac:dyDescent="0.25">
      <c r="A92" s="175" t="s">
        <v>545</v>
      </c>
      <c r="B92" s="123">
        <f>B91+1</f>
        <v>3</v>
      </c>
      <c r="C92" s="124"/>
      <c r="D92" s="125" t="s">
        <v>546</v>
      </c>
      <c r="E92" s="124" t="s">
        <v>547</v>
      </c>
      <c r="F92" s="124" t="s">
        <v>213</v>
      </c>
      <c r="G92" s="124" t="s">
        <v>547</v>
      </c>
      <c r="H92" s="124" t="s">
        <v>548</v>
      </c>
      <c r="I92" s="124" t="s">
        <v>549</v>
      </c>
      <c r="J92" s="124" t="s">
        <v>123</v>
      </c>
      <c r="K92" s="124" t="s">
        <v>141</v>
      </c>
      <c r="L92" s="124" t="s">
        <v>272</v>
      </c>
      <c r="M92" s="126">
        <v>5670</v>
      </c>
      <c r="N92" s="126">
        <v>9270</v>
      </c>
      <c r="O92" s="124"/>
      <c r="P92" s="127" t="s">
        <v>550</v>
      </c>
      <c r="Q92" s="127" t="s">
        <v>1113</v>
      </c>
      <c r="R92" s="127">
        <f>M92*3</f>
        <v>17010</v>
      </c>
      <c r="S92" s="127"/>
      <c r="T92" s="127"/>
      <c r="U92" s="127"/>
      <c r="V92" s="127"/>
      <c r="W92" s="128">
        <v>1</v>
      </c>
    </row>
    <row r="93" spans="1:24" s="129" customFormat="1" ht="30" x14ac:dyDescent="0.25">
      <c r="A93" s="175" t="s">
        <v>551</v>
      </c>
      <c r="B93" s="123">
        <f>B92+1</f>
        <v>4</v>
      </c>
      <c r="C93" s="124"/>
      <c r="D93" s="125" t="s">
        <v>552</v>
      </c>
      <c r="E93" s="124" t="s">
        <v>553</v>
      </c>
      <c r="F93" s="124" t="s">
        <v>554</v>
      </c>
      <c r="G93" s="124" t="s">
        <v>555</v>
      </c>
      <c r="H93" s="124" t="s">
        <v>556</v>
      </c>
      <c r="I93" s="124" t="s">
        <v>557</v>
      </c>
      <c r="J93" s="124" t="s">
        <v>123</v>
      </c>
      <c r="K93" s="124" t="s">
        <v>536</v>
      </c>
      <c r="L93" s="124" t="s">
        <v>558</v>
      </c>
      <c r="M93" s="126">
        <v>15750</v>
      </c>
      <c r="N93" s="126">
        <v>25750</v>
      </c>
      <c r="O93" s="124"/>
      <c r="P93" s="151" t="s">
        <v>559</v>
      </c>
      <c r="Q93" s="151" t="s">
        <v>1091</v>
      </c>
      <c r="R93" s="151">
        <f>M93*3</f>
        <v>47250</v>
      </c>
      <c r="S93" s="151"/>
      <c r="T93" s="151"/>
      <c r="U93" s="151"/>
      <c r="V93" s="151"/>
      <c r="W93" s="128">
        <v>1</v>
      </c>
    </row>
    <row r="94" spans="1:24" s="129" customFormat="1" ht="30" x14ac:dyDescent="0.25">
      <c r="A94" s="175" t="s">
        <v>560</v>
      </c>
      <c r="B94" s="123">
        <f>B93+1</f>
        <v>5</v>
      </c>
      <c r="C94" s="124"/>
      <c r="D94" s="125" t="s">
        <v>561</v>
      </c>
      <c r="E94" s="124" t="s">
        <v>562</v>
      </c>
      <c r="F94" s="124" t="s">
        <v>563</v>
      </c>
      <c r="G94" s="124" t="s">
        <v>564</v>
      </c>
      <c r="H94" s="124" t="s">
        <v>565</v>
      </c>
      <c r="I94" s="124" t="s">
        <v>566</v>
      </c>
      <c r="J94" s="124" t="s">
        <v>483</v>
      </c>
      <c r="K94" s="124" t="s">
        <v>567</v>
      </c>
      <c r="L94" s="124" t="s">
        <v>568</v>
      </c>
      <c r="M94" s="126">
        <f>N94*60%</f>
        <v>8400</v>
      </c>
      <c r="N94" s="126">
        <v>14000</v>
      </c>
      <c r="O94" s="124"/>
      <c r="P94" s="151" t="s">
        <v>569</v>
      </c>
      <c r="Q94" s="151" t="s">
        <v>1114</v>
      </c>
      <c r="R94" s="151"/>
      <c r="S94" s="151"/>
      <c r="T94" s="151"/>
      <c r="U94" s="151"/>
      <c r="V94" s="151"/>
      <c r="W94" s="128">
        <v>1</v>
      </c>
    </row>
    <row r="95" spans="1:24" s="129" customFormat="1" x14ac:dyDescent="0.25">
      <c r="A95" s="175" t="s">
        <v>570</v>
      </c>
      <c r="B95" s="123">
        <f>B94+1</f>
        <v>6</v>
      </c>
      <c r="C95" s="124"/>
      <c r="D95" s="125" t="s">
        <v>571</v>
      </c>
      <c r="E95" s="124"/>
      <c r="F95" s="124"/>
      <c r="G95" s="124" t="s">
        <v>564</v>
      </c>
      <c r="H95" s="124" t="s">
        <v>572</v>
      </c>
      <c r="I95" s="124" t="s">
        <v>177</v>
      </c>
      <c r="J95" s="124" t="s">
        <v>178</v>
      </c>
      <c r="K95" s="124" t="s">
        <v>141</v>
      </c>
      <c r="L95" s="124"/>
      <c r="M95" s="133">
        <v>9600</v>
      </c>
      <c r="N95" s="126">
        <v>16000</v>
      </c>
      <c r="O95" s="124"/>
      <c r="P95" s="151">
        <v>1773518926</v>
      </c>
      <c r="Q95" s="151" t="s">
        <v>1084</v>
      </c>
      <c r="R95" s="151"/>
      <c r="S95" s="151"/>
      <c r="T95" s="151"/>
      <c r="U95" s="151"/>
      <c r="V95" s="151"/>
      <c r="W95" s="128">
        <v>1</v>
      </c>
    </row>
    <row r="96" spans="1:24" s="144" customFormat="1" ht="15.75" thickBot="1" x14ac:dyDescent="0.3">
      <c r="A96" s="314" t="s">
        <v>573</v>
      </c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6"/>
      <c r="P96" s="143"/>
      <c r="Q96" s="143"/>
      <c r="R96" s="143"/>
      <c r="S96" s="143"/>
      <c r="T96" s="143"/>
      <c r="U96" s="143"/>
      <c r="V96" s="143"/>
      <c r="W96" s="106"/>
    </row>
    <row r="97" spans="1:24" s="129" customFormat="1" ht="30.75" thickBot="1" x14ac:dyDescent="0.3">
      <c r="A97" s="131" t="s">
        <v>574</v>
      </c>
      <c r="B97" s="123">
        <v>1</v>
      </c>
      <c r="C97" s="124"/>
      <c r="D97" s="125" t="s">
        <v>575</v>
      </c>
      <c r="E97" s="124" t="s">
        <v>34</v>
      </c>
      <c r="F97" s="124" t="s">
        <v>213</v>
      </c>
      <c r="G97" s="124" t="s">
        <v>576</v>
      </c>
      <c r="H97" s="124" t="s">
        <v>577</v>
      </c>
      <c r="I97" s="124" t="s">
        <v>122</v>
      </c>
      <c r="J97" s="124" t="s">
        <v>123</v>
      </c>
      <c r="K97" s="124" t="s">
        <v>366</v>
      </c>
      <c r="L97" s="124" t="s">
        <v>578</v>
      </c>
      <c r="M97" s="126">
        <v>11400</v>
      </c>
      <c r="N97" s="126">
        <v>19000</v>
      </c>
      <c r="O97" s="124"/>
      <c r="P97" s="127" t="s">
        <v>579</v>
      </c>
      <c r="Q97" s="127" t="s">
        <v>1078</v>
      </c>
      <c r="R97" s="127">
        <f>M97*9</f>
        <v>102600</v>
      </c>
      <c r="S97" s="127"/>
      <c r="T97" s="127"/>
      <c r="U97" s="127"/>
      <c r="V97" s="127"/>
      <c r="W97" s="128">
        <v>1</v>
      </c>
      <c r="X97" s="129">
        <f>14</f>
        <v>14</v>
      </c>
    </row>
    <row r="98" spans="1:24" s="129" customFormat="1" ht="30.75" thickBot="1" x14ac:dyDescent="0.3">
      <c r="A98" s="131" t="s">
        <v>580</v>
      </c>
      <c r="B98" s="123">
        <v>2</v>
      </c>
      <c r="C98" s="124"/>
      <c r="D98" s="125" t="s">
        <v>581</v>
      </c>
      <c r="E98" s="124" t="s">
        <v>34</v>
      </c>
      <c r="F98" s="124" t="s">
        <v>213</v>
      </c>
      <c r="G98" s="124" t="s">
        <v>582</v>
      </c>
      <c r="H98" s="124" t="s">
        <v>583</v>
      </c>
      <c r="I98" s="124" t="s">
        <v>584</v>
      </c>
      <c r="J98" s="124" t="s">
        <v>123</v>
      </c>
      <c r="K98" s="124" t="s">
        <v>141</v>
      </c>
      <c r="L98" s="124" t="s">
        <v>585</v>
      </c>
      <c r="M98" s="126">
        <v>9000</v>
      </c>
      <c r="N98" s="126">
        <v>15000</v>
      </c>
      <c r="O98" s="124"/>
      <c r="P98" s="127" t="s">
        <v>586</v>
      </c>
      <c r="Q98" s="127" t="s">
        <v>1115</v>
      </c>
      <c r="R98" s="127">
        <f>M98*3</f>
        <v>27000</v>
      </c>
      <c r="S98" s="127"/>
      <c r="T98" s="127"/>
      <c r="U98" s="127"/>
      <c r="V98" s="127"/>
      <c r="W98" s="128">
        <v>1</v>
      </c>
    </row>
    <row r="99" spans="1:24" s="129" customFormat="1" ht="30.75" thickBot="1" x14ac:dyDescent="0.3">
      <c r="A99" s="131" t="s">
        <v>587</v>
      </c>
      <c r="B99" s="123">
        <v>3</v>
      </c>
      <c r="C99" s="124"/>
      <c r="D99" s="125" t="s">
        <v>588</v>
      </c>
      <c r="E99" s="124" t="s">
        <v>589</v>
      </c>
      <c r="F99" s="124" t="s">
        <v>349</v>
      </c>
      <c r="G99" s="124" t="s">
        <v>590</v>
      </c>
      <c r="H99" s="124" t="s">
        <v>591</v>
      </c>
      <c r="I99" s="124" t="s">
        <v>592</v>
      </c>
      <c r="J99" s="124" t="s">
        <v>123</v>
      </c>
      <c r="K99" s="124" t="s">
        <v>141</v>
      </c>
      <c r="L99" s="124" t="s">
        <v>593</v>
      </c>
      <c r="M99" s="126">
        <v>10800.204</v>
      </c>
      <c r="N99" s="126">
        <v>18000.34</v>
      </c>
      <c r="O99" s="124"/>
      <c r="P99" s="127" t="s">
        <v>594</v>
      </c>
      <c r="Q99" s="127" t="s">
        <v>59</v>
      </c>
      <c r="R99" s="127">
        <f>M99*13</f>
        <v>140402.652</v>
      </c>
      <c r="S99" s="127"/>
      <c r="T99" s="127"/>
      <c r="U99" s="127"/>
      <c r="V99" s="127"/>
      <c r="W99" s="128">
        <v>1</v>
      </c>
    </row>
    <row r="100" spans="1:24" s="129" customFormat="1" ht="30.75" thickBot="1" x14ac:dyDescent="0.3">
      <c r="A100" s="131" t="s">
        <v>595</v>
      </c>
      <c r="B100" s="123">
        <v>4</v>
      </c>
      <c r="C100" s="124"/>
      <c r="D100" s="125" t="s">
        <v>596</v>
      </c>
      <c r="E100" s="124" t="s">
        <v>589</v>
      </c>
      <c r="F100" s="124" t="s">
        <v>349</v>
      </c>
      <c r="G100" s="124" t="s">
        <v>590</v>
      </c>
      <c r="H100" s="124" t="s">
        <v>597</v>
      </c>
      <c r="I100" s="124" t="s">
        <v>598</v>
      </c>
      <c r="J100" s="124" t="s">
        <v>123</v>
      </c>
      <c r="K100" s="124" t="s">
        <v>155</v>
      </c>
      <c r="L100" s="124" t="s">
        <v>599</v>
      </c>
      <c r="M100" s="126">
        <v>9600</v>
      </c>
      <c r="N100" s="126">
        <v>16000</v>
      </c>
      <c r="O100" s="124"/>
      <c r="P100" s="127" t="s">
        <v>600</v>
      </c>
      <c r="Q100" s="127" t="s">
        <v>1115</v>
      </c>
      <c r="R100" s="127">
        <f>M100*3</f>
        <v>28800</v>
      </c>
      <c r="S100" s="127"/>
      <c r="T100" s="127"/>
      <c r="U100" s="127"/>
      <c r="V100" s="127"/>
      <c r="W100" s="128">
        <v>1</v>
      </c>
    </row>
    <row r="101" spans="1:24" ht="45.75" thickBot="1" x14ac:dyDescent="0.3">
      <c r="A101" s="145" t="s">
        <v>601</v>
      </c>
      <c r="B101" s="120">
        <v>5</v>
      </c>
      <c r="C101" s="86"/>
      <c r="D101" s="92" t="s">
        <v>78</v>
      </c>
      <c r="E101" s="86" t="s">
        <v>79</v>
      </c>
      <c r="F101" s="86" t="s">
        <v>373</v>
      </c>
      <c r="G101" s="86" t="s">
        <v>602</v>
      </c>
      <c r="H101" s="86" t="s">
        <v>603</v>
      </c>
      <c r="I101" s="86" t="s">
        <v>80</v>
      </c>
      <c r="J101" s="86" t="s">
        <v>123</v>
      </c>
      <c r="K101" s="86" t="s">
        <v>124</v>
      </c>
      <c r="L101" s="86" t="s">
        <v>604</v>
      </c>
      <c r="M101" s="121">
        <v>12600.12</v>
      </c>
      <c r="N101" s="121">
        <v>21000.199999999997</v>
      </c>
      <c r="O101" s="86" t="s">
        <v>399</v>
      </c>
      <c r="P101" s="146" t="s">
        <v>605</v>
      </c>
      <c r="Q101" s="207" t="s">
        <v>97</v>
      </c>
      <c r="R101" s="146">
        <f>M101*21</f>
        <v>264602.52</v>
      </c>
      <c r="S101" s="146"/>
      <c r="T101" s="146"/>
      <c r="U101" s="146"/>
      <c r="V101" s="146"/>
      <c r="W101" s="114"/>
    </row>
    <row r="102" spans="1:24" s="129" customFormat="1" ht="30.75" thickBot="1" x14ac:dyDescent="0.3">
      <c r="A102" s="131" t="s">
        <v>606</v>
      </c>
      <c r="B102" s="123">
        <v>6</v>
      </c>
      <c r="C102" s="124"/>
      <c r="D102" s="125" t="s">
        <v>607</v>
      </c>
      <c r="E102" s="124" t="s">
        <v>79</v>
      </c>
      <c r="F102" s="124" t="s">
        <v>373</v>
      </c>
      <c r="G102" s="124" t="s">
        <v>602</v>
      </c>
      <c r="H102" s="124" t="s">
        <v>608</v>
      </c>
      <c r="I102" s="124" t="s">
        <v>609</v>
      </c>
      <c r="J102" s="124" t="s">
        <v>123</v>
      </c>
      <c r="K102" s="124" t="s">
        <v>217</v>
      </c>
      <c r="L102" s="124" t="s">
        <v>610</v>
      </c>
      <c r="M102" s="126">
        <v>11399.844000000001</v>
      </c>
      <c r="N102" s="126">
        <v>18999.740000000005</v>
      </c>
      <c r="O102" s="124"/>
      <c r="P102" s="127">
        <v>1733857145</v>
      </c>
      <c r="Q102" s="127" t="s">
        <v>1116</v>
      </c>
      <c r="R102" s="127">
        <f>M102*20</f>
        <v>227996.88</v>
      </c>
      <c r="S102" s="127"/>
      <c r="T102" s="127"/>
      <c r="U102" s="127"/>
      <c r="V102" s="127"/>
      <c r="W102" s="128">
        <v>1</v>
      </c>
    </row>
    <row r="103" spans="1:24" s="129" customFormat="1" ht="15.75" thickBot="1" x14ac:dyDescent="0.3">
      <c r="A103" s="131" t="s">
        <v>611</v>
      </c>
      <c r="B103" s="123">
        <v>7</v>
      </c>
      <c r="C103" s="124"/>
      <c r="D103" s="125" t="s">
        <v>612</v>
      </c>
      <c r="E103" s="124" t="s">
        <v>34</v>
      </c>
      <c r="F103" s="124" t="s">
        <v>213</v>
      </c>
      <c r="G103" s="124" t="s">
        <v>602</v>
      </c>
      <c r="H103" s="124" t="s">
        <v>613</v>
      </c>
      <c r="I103" s="124" t="s">
        <v>122</v>
      </c>
      <c r="J103" s="124" t="s">
        <v>123</v>
      </c>
      <c r="K103" s="124" t="s">
        <v>434</v>
      </c>
      <c r="L103" s="124" t="s">
        <v>578</v>
      </c>
      <c r="M103" s="126">
        <v>10800</v>
      </c>
      <c r="N103" s="126">
        <v>18000</v>
      </c>
      <c r="O103" s="124"/>
      <c r="P103" s="127" t="s">
        <v>614</v>
      </c>
      <c r="Q103" s="127" t="s">
        <v>1078</v>
      </c>
      <c r="R103" s="127">
        <f>M103*9</f>
        <v>97200</v>
      </c>
      <c r="S103" s="127"/>
      <c r="T103" s="127"/>
      <c r="U103" s="127"/>
      <c r="V103" s="127"/>
      <c r="W103" s="128">
        <v>1</v>
      </c>
      <c r="X103" s="129">
        <f>14</f>
        <v>14</v>
      </c>
    </row>
    <row r="104" spans="1:24" s="129" customFormat="1" ht="30.75" thickBot="1" x14ac:dyDescent="0.3">
      <c r="A104" s="131" t="s">
        <v>615</v>
      </c>
      <c r="B104" s="123">
        <v>8</v>
      </c>
      <c r="C104" s="124"/>
      <c r="D104" s="125" t="s">
        <v>616</v>
      </c>
      <c r="E104" s="124" t="s">
        <v>34</v>
      </c>
      <c r="F104" s="124" t="s">
        <v>213</v>
      </c>
      <c r="G104" s="124" t="s">
        <v>602</v>
      </c>
      <c r="H104" s="124" t="s">
        <v>617</v>
      </c>
      <c r="I104" s="124" t="s">
        <v>584</v>
      </c>
      <c r="J104" s="124" t="s">
        <v>123</v>
      </c>
      <c r="K104" s="124" t="s">
        <v>141</v>
      </c>
      <c r="L104" s="124" t="s">
        <v>618</v>
      </c>
      <c r="M104" s="126">
        <v>6709.5</v>
      </c>
      <c r="N104" s="126">
        <v>10969.5</v>
      </c>
      <c r="O104" s="124" t="s">
        <v>619</v>
      </c>
      <c r="P104" s="127" t="s">
        <v>620</v>
      </c>
      <c r="Q104" s="127" t="s">
        <v>1115</v>
      </c>
      <c r="R104" s="127">
        <f>M104*3</f>
        <v>20128.5</v>
      </c>
      <c r="S104" s="127"/>
      <c r="T104" s="127"/>
      <c r="U104" s="127"/>
      <c r="V104" s="127"/>
      <c r="W104" s="128">
        <v>1</v>
      </c>
      <c r="X104" s="129">
        <f>3</f>
        <v>3</v>
      </c>
    </row>
    <row r="105" spans="1:24" s="129" customFormat="1" ht="15.75" thickBot="1" x14ac:dyDescent="0.3">
      <c r="A105" s="131" t="s">
        <v>621</v>
      </c>
      <c r="B105" s="123">
        <f>B104+1</f>
        <v>9</v>
      </c>
      <c r="C105" s="124"/>
      <c r="D105" s="125" t="s">
        <v>622</v>
      </c>
      <c r="E105" s="124" t="s">
        <v>623</v>
      </c>
      <c r="F105" s="124" t="s">
        <v>380</v>
      </c>
      <c r="G105" s="124" t="s">
        <v>624</v>
      </c>
      <c r="H105" s="124" t="s">
        <v>625</v>
      </c>
      <c r="I105" s="124" t="s">
        <v>626</v>
      </c>
      <c r="J105" s="124" t="s">
        <v>123</v>
      </c>
      <c r="K105" s="124" t="s">
        <v>201</v>
      </c>
      <c r="L105" s="124" t="s">
        <v>627</v>
      </c>
      <c r="M105" s="126">
        <v>9000.0839999999989</v>
      </c>
      <c r="N105" s="126">
        <v>15000.139999999998</v>
      </c>
      <c r="O105" s="124"/>
      <c r="P105" s="127" t="s">
        <v>628</v>
      </c>
      <c r="Q105" s="127" t="s">
        <v>1117</v>
      </c>
      <c r="R105" s="127">
        <f>M105*10</f>
        <v>90000.84</v>
      </c>
      <c r="S105" s="127"/>
      <c r="T105" s="127"/>
      <c r="U105" s="127"/>
      <c r="V105" s="127"/>
      <c r="W105" s="128">
        <v>1</v>
      </c>
    </row>
    <row r="106" spans="1:24" s="129" customFormat="1" ht="30.75" thickBot="1" x14ac:dyDescent="0.3">
      <c r="A106" s="131" t="s">
        <v>629</v>
      </c>
      <c r="B106" s="123">
        <f t="shared" ref="B106:B107" si="4">B105+1</f>
        <v>10</v>
      </c>
      <c r="C106" s="124"/>
      <c r="D106" s="125" t="s">
        <v>630</v>
      </c>
      <c r="E106" s="124" t="s">
        <v>34</v>
      </c>
      <c r="F106" s="124" t="s">
        <v>213</v>
      </c>
      <c r="G106" s="124" t="s">
        <v>602</v>
      </c>
      <c r="H106" s="124" t="s">
        <v>631</v>
      </c>
      <c r="I106" s="124" t="s">
        <v>632</v>
      </c>
      <c r="J106" s="124" t="s">
        <v>123</v>
      </c>
      <c r="K106" s="124" t="s">
        <v>201</v>
      </c>
      <c r="L106" s="124" t="s">
        <v>633</v>
      </c>
      <c r="M106" s="126">
        <v>11399.82</v>
      </c>
      <c r="N106" s="126">
        <v>18999.7</v>
      </c>
      <c r="O106" s="124"/>
      <c r="P106" s="127" t="s">
        <v>634</v>
      </c>
      <c r="Q106" s="127" t="s">
        <v>1118</v>
      </c>
      <c r="R106" s="127">
        <f>M106*13</f>
        <v>148197.66</v>
      </c>
      <c r="S106" s="127"/>
      <c r="T106" s="127"/>
      <c r="U106" s="127"/>
      <c r="V106" s="127"/>
      <c r="W106" s="128">
        <v>1</v>
      </c>
      <c r="X106" s="129">
        <f>2</f>
        <v>2</v>
      </c>
    </row>
    <row r="107" spans="1:24" s="129" customFormat="1" ht="30" x14ac:dyDescent="0.25">
      <c r="A107" s="131" t="s">
        <v>635</v>
      </c>
      <c r="B107" s="123">
        <f t="shared" si="4"/>
        <v>11</v>
      </c>
      <c r="C107" s="124"/>
      <c r="D107" s="125" t="s">
        <v>636</v>
      </c>
      <c r="E107" s="124" t="s">
        <v>37</v>
      </c>
      <c r="F107" s="124" t="s">
        <v>380</v>
      </c>
      <c r="G107" s="124" t="s">
        <v>637</v>
      </c>
      <c r="H107" s="124" t="s">
        <v>638</v>
      </c>
      <c r="I107" s="124" t="s">
        <v>406</v>
      </c>
      <c r="J107" s="124" t="s">
        <v>123</v>
      </c>
      <c r="K107" s="124" t="s">
        <v>201</v>
      </c>
      <c r="L107" s="124" t="s">
        <v>639</v>
      </c>
      <c r="M107" s="126">
        <v>8400</v>
      </c>
      <c r="N107" s="126">
        <v>14000</v>
      </c>
      <c r="O107" s="124"/>
      <c r="P107" s="127" t="s">
        <v>640</v>
      </c>
      <c r="Q107" s="127" t="s">
        <v>1101</v>
      </c>
      <c r="R107" s="127">
        <f>M107*7</f>
        <v>58800</v>
      </c>
      <c r="S107" s="127"/>
      <c r="T107" s="127"/>
      <c r="U107" s="127"/>
      <c r="V107" s="127"/>
      <c r="W107" s="128">
        <v>1</v>
      </c>
      <c r="X107" s="129">
        <f>9</f>
        <v>9</v>
      </c>
    </row>
    <row r="108" spans="1:24" x14ac:dyDescent="0.25">
      <c r="A108" s="180"/>
      <c r="B108" s="181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3"/>
      <c r="N108" s="183"/>
      <c r="O108" s="184"/>
      <c r="P108" s="146"/>
      <c r="Q108" s="146"/>
      <c r="R108" s="146"/>
      <c r="S108" s="146"/>
      <c r="T108" s="146"/>
      <c r="U108" s="146"/>
      <c r="V108" s="146"/>
      <c r="W108" s="114"/>
    </row>
    <row r="109" spans="1:24" s="144" customFormat="1" ht="15.75" thickBot="1" x14ac:dyDescent="0.3">
      <c r="A109" s="310" t="s">
        <v>641</v>
      </c>
      <c r="B109" s="311"/>
      <c r="C109" s="311"/>
      <c r="D109" s="311"/>
      <c r="E109" s="311"/>
      <c r="F109" s="311"/>
      <c r="G109" s="311"/>
      <c r="H109" s="311"/>
      <c r="I109" s="311"/>
      <c r="J109" s="311"/>
      <c r="K109" s="311"/>
      <c r="L109" s="311"/>
      <c r="M109" s="311"/>
      <c r="N109" s="311"/>
      <c r="O109" s="312"/>
      <c r="P109" s="143"/>
      <c r="Q109" s="143"/>
      <c r="R109" s="143"/>
      <c r="S109" s="143"/>
      <c r="T109" s="143"/>
      <c r="U109" s="143"/>
      <c r="V109" s="143"/>
      <c r="W109" s="106"/>
    </row>
    <row r="110" spans="1:24" s="129" customFormat="1" ht="45.75" thickBot="1" x14ac:dyDescent="0.3">
      <c r="A110" s="131" t="s">
        <v>642</v>
      </c>
      <c r="B110" s="123">
        <v>1</v>
      </c>
      <c r="C110" s="124"/>
      <c r="D110" s="125" t="s">
        <v>643</v>
      </c>
      <c r="E110" s="124" t="s">
        <v>644</v>
      </c>
      <c r="F110" s="124"/>
      <c r="G110" s="124" t="s">
        <v>645</v>
      </c>
      <c r="H110" s="124" t="s">
        <v>646</v>
      </c>
      <c r="I110" s="124" t="s">
        <v>647</v>
      </c>
      <c r="J110" s="124" t="s">
        <v>123</v>
      </c>
      <c r="K110" s="124" t="s">
        <v>141</v>
      </c>
      <c r="L110" s="124" t="s">
        <v>578</v>
      </c>
      <c r="M110" s="126">
        <v>13833.611820000002</v>
      </c>
      <c r="N110" s="126">
        <v>22616.85742</v>
      </c>
      <c r="O110" s="124" t="s">
        <v>648</v>
      </c>
      <c r="P110" s="127" t="s">
        <v>649</v>
      </c>
      <c r="Q110" s="127" t="s">
        <v>1119</v>
      </c>
      <c r="R110" s="127">
        <f>M110*28</f>
        <v>387341.13096000004</v>
      </c>
      <c r="S110" s="127"/>
      <c r="T110" s="127"/>
      <c r="U110" s="127"/>
      <c r="V110" s="127"/>
      <c r="W110" s="128">
        <v>1</v>
      </c>
    </row>
    <row r="111" spans="1:24" s="129" customFormat="1" ht="15.75" thickBot="1" x14ac:dyDescent="0.3">
      <c r="A111" s="131" t="s">
        <v>650</v>
      </c>
      <c r="B111" s="123">
        <v>2</v>
      </c>
      <c r="C111" s="124"/>
      <c r="D111" s="125" t="s">
        <v>651</v>
      </c>
      <c r="E111" s="124" t="s">
        <v>34</v>
      </c>
      <c r="F111" s="124" t="s">
        <v>213</v>
      </c>
      <c r="G111" s="124" t="s">
        <v>652</v>
      </c>
      <c r="H111" s="124" t="s">
        <v>653</v>
      </c>
      <c r="I111" s="124" t="s">
        <v>654</v>
      </c>
      <c r="J111" s="124" t="s">
        <v>123</v>
      </c>
      <c r="K111" s="124" t="s">
        <v>201</v>
      </c>
      <c r="L111" s="124" t="s">
        <v>578</v>
      </c>
      <c r="M111" s="126">
        <v>9401.9939999999988</v>
      </c>
      <c r="N111" s="126">
        <v>15371.513999999999</v>
      </c>
      <c r="O111" s="124"/>
      <c r="P111" s="127" t="s">
        <v>655</v>
      </c>
      <c r="Q111" s="127" t="s">
        <v>1120</v>
      </c>
      <c r="R111" s="127">
        <f>M111*13</f>
        <v>122225.92199999999</v>
      </c>
      <c r="S111" s="127"/>
      <c r="T111" s="127"/>
      <c r="U111" s="127"/>
      <c r="V111" s="127"/>
      <c r="W111" s="128">
        <v>1</v>
      </c>
      <c r="X111" s="129">
        <f>12</f>
        <v>12</v>
      </c>
    </row>
    <row r="112" spans="1:24" s="129" customFormat="1" x14ac:dyDescent="0.25">
      <c r="A112" s="131" t="s">
        <v>656</v>
      </c>
      <c r="B112" s="123">
        <v>3</v>
      </c>
      <c r="C112" s="124"/>
      <c r="D112" s="125" t="s">
        <v>657</v>
      </c>
      <c r="E112" s="124" t="s">
        <v>34</v>
      </c>
      <c r="F112" s="124" t="s">
        <v>213</v>
      </c>
      <c r="G112" s="124" t="s">
        <v>652</v>
      </c>
      <c r="H112" s="124" t="s">
        <v>658</v>
      </c>
      <c r="I112" s="124" t="s">
        <v>659</v>
      </c>
      <c r="J112" s="124" t="s">
        <v>123</v>
      </c>
      <c r="K112" s="124" t="s">
        <v>660</v>
      </c>
      <c r="L112" s="124" t="s">
        <v>578</v>
      </c>
      <c r="M112" s="126">
        <v>9140.777100000003</v>
      </c>
      <c r="N112" s="126">
        <v>14944.445100000004</v>
      </c>
      <c r="O112" s="124"/>
      <c r="P112" s="127" t="s">
        <v>661</v>
      </c>
      <c r="Q112" s="127" t="s">
        <v>1117</v>
      </c>
      <c r="R112" s="127">
        <f>M112*10</f>
        <v>91407.771000000037</v>
      </c>
      <c r="S112" s="127"/>
      <c r="T112" s="127"/>
      <c r="U112" s="127"/>
      <c r="V112" s="127"/>
      <c r="W112" s="128">
        <v>1</v>
      </c>
      <c r="X112" s="129">
        <f>12</f>
        <v>12</v>
      </c>
    </row>
    <row r="113" spans="1:24" s="144" customFormat="1" ht="15.75" thickBot="1" x14ac:dyDescent="0.3">
      <c r="A113" s="310" t="s">
        <v>662</v>
      </c>
      <c r="B113" s="311"/>
      <c r="C113" s="311"/>
      <c r="D113" s="311"/>
      <c r="E113" s="311"/>
      <c r="F113" s="311"/>
      <c r="G113" s="311"/>
      <c r="H113" s="311"/>
      <c r="I113" s="311"/>
      <c r="J113" s="311"/>
      <c r="K113" s="311"/>
      <c r="L113" s="311"/>
      <c r="M113" s="311"/>
      <c r="N113" s="311"/>
      <c r="O113" s="312"/>
      <c r="P113" s="160"/>
      <c r="Q113" s="160"/>
      <c r="R113" s="160"/>
      <c r="S113" s="160"/>
      <c r="T113" s="160"/>
      <c r="U113" s="160"/>
      <c r="V113" s="160"/>
      <c r="W113" s="106"/>
    </row>
    <row r="114" spans="1:24" s="129" customFormat="1" ht="60.75" thickBot="1" x14ac:dyDescent="0.3">
      <c r="A114" s="131" t="s">
        <v>663</v>
      </c>
      <c r="B114" s="123">
        <v>1</v>
      </c>
      <c r="C114" s="124"/>
      <c r="D114" s="125" t="s">
        <v>664</v>
      </c>
      <c r="E114" s="124" t="s">
        <v>665</v>
      </c>
      <c r="F114" s="124" t="s">
        <v>666</v>
      </c>
      <c r="G114" s="124" t="s">
        <v>667</v>
      </c>
      <c r="H114" s="124" t="s">
        <v>668</v>
      </c>
      <c r="I114" s="124" t="s">
        <v>669</v>
      </c>
      <c r="J114" s="124" t="s">
        <v>123</v>
      </c>
      <c r="K114" s="124" t="s">
        <v>670</v>
      </c>
      <c r="L114" s="124" t="s">
        <v>671</v>
      </c>
      <c r="M114" s="126">
        <v>31758</v>
      </c>
      <c r="N114" s="126">
        <v>51923</v>
      </c>
      <c r="O114" s="124"/>
      <c r="P114" s="127" t="s">
        <v>672</v>
      </c>
      <c r="Q114" s="127" t="s">
        <v>1121</v>
      </c>
      <c r="R114" s="127">
        <f>M114*4</f>
        <v>127032</v>
      </c>
      <c r="S114" s="127"/>
      <c r="T114" s="127"/>
      <c r="U114" s="127"/>
      <c r="V114" s="127"/>
      <c r="W114" s="128">
        <v>1</v>
      </c>
    </row>
    <row r="115" spans="1:24" s="129" customFormat="1" ht="45.75" thickBot="1" x14ac:dyDescent="0.3">
      <c r="A115" s="131" t="s">
        <v>673</v>
      </c>
      <c r="B115" s="123">
        <v>2</v>
      </c>
      <c r="C115" s="124"/>
      <c r="D115" s="125" t="s">
        <v>674</v>
      </c>
      <c r="E115" s="124" t="s">
        <v>675</v>
      </c>
      <c r="F115" s="124"/>
      <c r="G115" s="124" t="s">
        <v>676</v>
      </c>
      <c r="H115" s="124" t="s">
        <v>677</v>
      </c>
      <c r="I115" s="124" t="s">
        <v>678</v>
      </c>
      <c r="J115" s="124" t="s">
        <v>123</v>
      </c>
      <c r="K115" s="124" t="s">
        <v>679</v>
      </c>
      <c r="L115" s="124" t="s">
        <v>680</v>
      </c>
      <c r="M115" s="126">
        <v>24035.287500000002</v>
      </c>
      <c r="N115" s="133">
        <v>39295.787500000006</v>
      </c>
      <c r="O115" s="124"/>
      <c r="P115" s="127" t="s">
        <v>681</v>
      </c>
      <c r="Q115" s="127" t="s">
        <v>1122</v>
      </c>
      <c r="R115" s="127">
        <f>M115*9</f>
        <v>216317.58750000002</v>
      </c>
      <c r="S115" s="127"/>
      <c r="T115" s="127"/>
      <c r="U115" s="127"/>
      <c r="V115" s="127"/>
      <c r="W115" s="128">
        <v>1</v>
      </c>
      <c r="X115" s="129">
        <f>3</f>
        <v>3</v>
      </c>
    </row>
    <row r="116" spans="1:24" s="129" customFormat="1" ht="30" x14ac:dyDescent="0.25">
      <c r="A116" s="131" t="s">
        <v>682</v>
      </c>
      <c r="B116" s="123">
        <v>3</v>
      </c>
      <c r="C116" s="124"/>
      <c r="D116" s="125" t="s">
        <v>683</v>
      </c>
      <c r="E116" s="124" t="s">
        <v>684</v>
      </c>
      <c r="F116" s="124"/>
      <c r="G116" s="124" t="s">
        <v>685</v>
      </c>
      <c r="H116" s="124" t="s">
        <v>686</v>
      </c>
      <c r="I116" s="124" t="s">
        <v>359</v>
      </c>
      <c r="J116" s="124" t="s">
        <v>123</v>
      </c>
      <c r="K116" s="124" t="s">
        <v>141</v>
      </c>
      <c r="L116" s="124" t="s">
        <v>687</v>
      </c>
      <c r="M116" s="185">
        <v>7843.4999999999982</v>
      </c>
      <c r="N116" s="185">
        <v>12823.499999999996</v>
      </c>
      <c r="O116" s="124"/>
      <c r="P116" s="127" t="s">
        <v>688</v>
      </c>
      <c r="Q116" s="127" t="s">
        <v>1096</v>
      </c>
      <c r="R116" s="231">
        <f>M116*5</f>
        <v>39217.499999999993</v>
      </c>
      <c r="S116" s="127"/>
      <c r="T116" s="127"/>
      <c r="U116" s="127"/>
      <c r="V116" s="127"/>
      <c r="W116" s="128">
        <v>1</v>
      </c>
    </row>
    <row r="117" spans="1:24" x14ac:dyDescent="0.25">
      <c r="A117" s="313" t="s">
        <v>689</v>
      </c>
      <c r="B117" s="313"/>
      <c r="C117" s="313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</row>
    <row r="119" spans="1:24" s="144" customFormat="1" ht="15.75" thickBot="1" x14ac:dyDescent="0.3">
      <c r="A119" s="314" t="s">
        <v>47</v>
      </c>
      <c r="B119" s="315"/>
      <c r="C119" s="315"/>
      <c r="D119" s="315"/>
      <c r="E119" s="315"/>
      <c r="F119" s="315"/>
      <c r="G119" s="315"/>
      <c r="H119" s="315"/>
      <c r="I119" s="315"/>
      <c r="J119" s="315"/>
      <c r="K119" s="315"/>
      <c r="L119" s="315"/>
      <c r="M119" s="315"/>
      <c r="N119" s="315"/>
      <c r="O119" s="315"/>
      <c r="P119" s="186"/>
      <c r="Q119" s="186"/>
      <c r="R119" s="234"/>
      <c r="S119" s="186"/>
      <c r="T119" s="186"/>
      <c r="U119" s="186"/>
      <c r="V119" s="186"/>
      <c r="W119" s="187"/>
    </row>
    <row r="120" spans="1:24" ht="45.75" thickBot="1" x14ac:dyDescent="0.3">
      <c r="A120" s="145" t="s">
        <v>690</v>
      </c>
      <c r="B120" s="120">
        <v>1</v>
      </c>
      <c r="C120" s="86"/>
      <c r="D120" s="92" t="s">
        <v>81</v>
      </c>
      <c r="E120" s="86" t="s">
        <v>82</v>
      </c>
      <c r="F120" s="86" t="s">
        <v>187</v>
      </c>
      <c r="G120" s="86" t="s">
        <v>691</v>
      </c>
      <c r="H120" s="86" t="s">
        <v>692</v>
      </c>
      <c r="I120" s="86" t="s">
        <v>50</v>
      </c>
      <c r="J120" s="86" t="s">
        <v>123</v>
      </c>
      <c r="K120" s="86" t="s">
        <v>141</v>
      </c>
      <c r="L120" s="86" t="s">
        <v>693</v>
      </c>
      <c r="M120" s="121">
        <v>19735.461899999995</v>
      </c>
      <c r="N120" s="121">
        <v>32265.913899999992</v>
      </c>
      <c r="O120" s="86"/>
      <c r="P120" s="188" t="s">
        <v>694</v>
      </c>
      <c r="Q120" s="188" t="s">
        <v>98</v>
      </c>
      <c r="R120" s="188">
        <f>M120*16</f>
        <v>315767.39039999992</v>
      </c>
      <c r="S120" s="188"/>
      <c r="T120" s="188"/>
      <c r="U120" s="188"/>
      <c r="V120" s="188"/>
      <c r="W120" s="114"/>
      <c r="X120" s="97">
        <f>8</f>
        <v>8</v>
      </c>
    </row>
    <row r="121" spans="1:24" s="129" customFormat="1" ht="30.75" thickBot="1" x14ac:dyDescent="0.3">
      <c r="A121" s="145" t="s">
        <v>695</v>
      </c>
      <c r="B121" s="123">
        <f>B120+1</f>
        <v>2</v>
      </c>
      <c r="C121" s="124"/>
      <c r="D121" s="125" t="s">
        <v>696</v>
      </c>
      <c r="E121" s="124" t="s">
        <v>697</v>
      </c>
      <c r="F121" s="124" t="s">
        <v>380</v>
      </c>
      <c r="G121" s="124" t="s">
        <v>698</v>
      </c>
      <c r="H121" s="124" t="s">
        <v>699</v>
      </c>
      <c r="I121" s="124" t="s">
        <v>88</v>
      </c>
      <c r="J121" s="124" t="s">
        <v>123</v>
      </c>
      <c r="K121" s="124" t="s">
        <v>257</v>
      </c>
      <c r="L121" s="124" t="s">
        <v>700</v>
      </c>
      <c r="M121" s="126">
        <v>6709.5</v>
      </c>
      <c r="N121" s="126">
        <v>10969.5</v>
      </c>
      <c r="O121" s="124"/>
      <c r="P121" s="162" t="s">
        <v>701</v>
      </c>
      <c r="Q121" s="162" t="s">
        <v>99</v>
      </c>
      <c r="R121" s="162">
        <f>M121*4</f>
        <v>26838</v>
      </c>
      <c r="S121" s="162"/>
      <c r="T121" s="162"/>
      <c r="U121" s="162"/>
      <c r="V121" s="162"/>
      <c r="W121" s="128">
        <v>1</v>
      </c>
    </row>
    <row r="122" spans="1:24" s="129" customFormat="1" ht="30.75" thickBot="1" x14ac:dyDescent="0.3">
      <c r="A122" s="145" t="s">
        <v>702</v>
      </c>
      <c r="B122" s="123">
        <f t="shared" ref="B122:B132" si="5">B121+1</f>
        <v>3</v>
      </c>
      <c r="C122" s="124"/>
      <c r="D122" s="125" t="s">
        <v>703</v>
      </c>
      <c r="E122" s="124" t="s">
        <v>37</v>
      </c>
      <c r="F122" s="124" t="s">
        <v>380</v>
      </c>
      <c r="G122" s="124" t="s">
        <v>637</v>
      </c>
      <c r="H122" s="124" t="s">
        <v>704</v>
      </c>
      <c r="I122" s="124" t="s">
        <v>705</v>
      </c>
      <c r="J122" s="124" t="s">
        <v>123</v>
      </c>
      <c r="K122" s="124" t="s">
        <v>201</v>
      </c>
      <c r="L122" s="124" t="s">
        <v>272</v>
      </c>
      <c r="M122" s="126">
        <v>8024.9399999999969</v>
      </c>
      <c r="N122" s="126">
        <v>13120.139999999996</v>
      </c>
      <c r="O122" s="124"/>
      <c r="P122" s="162" t="s">
        <v>706</v>
      </c>
      <c r="Q122" s="162" t="s">
        <v>1101</v>
      </c>
      <c r="R122" s="162">
        <f>M122*7</f>
        <v>56174.57999999998</v>
      </c>
      <c r="S122" s="162"/>
      <c r="T122" s="162"/>
      <c r="U122" s="162"/>
      <c r="V122" s="162"/>
      <c r="W122" s="128">
        <v>1</v>
      </c>
    </row>
    <row r="123" spans="1:24" s="129" customFormat="1" ht="30.75" thickBot="1" x14ac:dyDescent="0.3">
      <c r="A123" s="131" t="s">
        <v>707</v>
      </c>
      <c r="B123" s="123">
        <f t="shared" si="5"/>
        <v>4</v>
      </c>
      <c r="C123" s="124"/>
      <c r="D123" s="125" t="s">
        <v>708</v>
      </c>
      <c r="E123" s="124" t="s">
        <v>37</v>
      </c>
      <c r="F123" s="124" t="s">
        <v>380</v>
      </c>
      <c r="G123" s="124" t="s">
        <v>637</v>
      </c>
      <c r="H123" s="124" t="s">
        <v>709</v>
      </c>
      <c r="I123" s="124" t="s">
        <v>359</v>
      </c>
      <c r="J123" s="124" t="s">
        <v>123</v>
      </c>
      <c r="K123" s="124" t="s">
        <v>257</v>
      </c>
      <c r="L123" s="124" t="s">
        <v>272</v>
      </c>
      <c r="M123" s="126">
        <v>6381.8999999999987</v>
      </c>
      <c r="N123" s="126">
        <v>10433.899999999998</v>
      </c>
      <c r="O123" s="124"/>
      <c r="P123" s="162" t="s">
        <v>710</v>
      </c>
      <c r="Q123" s="162" t="s">
        <v>1096</v>
      </c>
      <c r="R123" s="162">
        <f>M123*5</f>
        <v>31909.499999999993</v>
      </c>
      <c r="S123" s="162"/>
      <c r="T123" s="162"/>
      <c r="U123" s="162"/>
      <c r="V123" s="162"/>
      <c r="W123" s="128">
        <v>1</v>
      </c>
      <c r="X123" s="129">
        <f>14</f>
        <v>14</v>
      </c>
    </row>
    <row r="124" spans="1:24" s="129" customFormat="1" ht="30.75" thickBot="1" x14ac:dyDescent="0.3">
      <c r="A124" s="145" t="s">
        <v>711</v>
      </c>
      <c r="B124" s="123">
        <f t="shared" si="5"/>
        <v>5</v>
      </c>
      <c r="C124" s="124"/>
      <c r="D124" s="125" t="s">
        <v>712</v>
      </c>
      <c r="E124" s="124" t="s">
        <v>713</v>
      </c>
      <c r="F124" s="124" t="s">
        <v>380</v>
      </c>
      <c r="G124" s="124" t="s">
        <v>637</v>
      </c>
      <c r="H124" s="124" t="s">
        <v>714</v>
      </c>
      <c r="I124" s="124" t="s">
        <v>715</v>
      </c>
      <c r="J124" s="124" t="s">
        <v>123</v>
      </c>
      <c r="K124" s="124" t="s">
        <v>257</v>
      </c>
      <c r="L124" s="124" t="s">
        <v>272</v>
      </c>
      <c r="M124" s="126">
        <v>6148.9574999999995</v>
      </c>
      <c r="N124" s="126">
        <v>10053.057500000001</v>
      </c>
      <c r="O124" s="124"/>
      <c r="P124" s="162" t="s">
        <v>716</v>
      </c>
      <c r="Q124" s="162" t="s">
        <v>1123</v>
      </c>
      <c r="R124" s="162">
        <f>M124*4</f>
        <v>24595.829999999998</v>
      </c>
      <c r="S124" s="162"/>
      <c r="T124" s="162"/>
      <c r="U124" s="162"/>
      <c r="V124" s="162"/>
      <c r="W124" s="128">
        <v>1</v>
      </c>
    </row>
    <row r="125" spans="1:24" s="129" customFormat="1" ht="30.75" thickBot="1" x14ac:dyDescent="0.3">
      <c r="A125" s="145" t="s">
        <v>717</v>
      </c>
      <c r="B125" s="123">
        <f t="shared" si="5"/>
        <v>6</v>
      </c>
      <c r="C125" s="124"/>
      <c r="D125" s="125" t="s">
        <v>718</v>
      </c>
      <c r="E125" s="124" t="s">
        <v>713</v>
      </c>
      <c r="F125" s="124" t="s">
        <v>380</v>
      </c>
      <c r="G125" s="124" t="s">
        <v>637</v>
      </c>
      <c r="H125" s="124" t="s">
        <v>719</v>
      </c>
      <c r="I125" s="124" t="s">
        <v>715</v>
      </c>
      <c r="J125" s="124" t="s">
        <v>123</v>
      </c>
      <c r="K125" s="124" t="s">
        <v>257</v>
      </c>
      <c r="L125" s="124" t="s">
        <v>272</v>
      </c>
      <c r="M125" s="126">
        <v>6148.9575000000004</v>
      </c>
      <c r="N125" s="126">
        <v>10053.057500000001</v>
      </c>
      <c r="O125" s="124"/>
      <c r="P125" s="162" t="s">
        <v>716</v>
      </c>
      <c r="Q125" s="162" t="s">
        <v>1123</v>
      </c>
      <c r="R125" s="162">
        <f>M125*4</f>
        <v>24595.83</v>
      </c>
      <c r="S125" s="162"/>
      <c r="T125" s="162"/>
      <c r="U125" s="162"/>
      <c r="V125" s="162"/>
      <c r="W125" s="128">
        <v>1</v>
      </c>
    </row>
    <row r="126" spans="1:24" ht="30.75" thickBot="1" x14ac:dyDescent="0.3">
      <c r="A126" s="145" t="s">
        <v>720</v>
      </c>
      <c r="B126" s="120">
        <f t="shared" si="5"/>
        <v>7</v>
      </c>
      <c r="C126" s="86"/>
      <c r="D126" s="92" t="s">
        <v>83</v>
      </c>
      <c r="E126" s="86" t="s">
        <v>53</v>
      </c>
      <c r="F126" s="86" t="s">
        <v>380</v>
      </c>
      <c r="G126" s="86" t="s">
        <v>637</v>
      </c>
      <c r="H126" s="86" t="s">
        <v>721</v>
      </c>
      <c r="I126" s="86" t="s">
        <v>50</v>
      </c>
      <c r="J126" s="86" t="s">
        <v>123</v>
      </c>
      <c r="K126" s="86" t="s">
        <v>257</v>
      </c>
      <c r="L126" s="86" t="s">
        <v>272</v>
      </c>
      <c r="M126" s="121">
        <v>10892.781899999996</v>
      </c>
      <c r="N126" s="121">
        <v>17808.833899999994</v>
      </c>
      <c r="O126" s="86"/>
      <c r="P126" s="146" t="s">
        <v>722</v>
      </c>
      <c r="Q126" s="207" t="s">
        <v>98</v>
      </c>
      <c r="R126" s="146">
        <f>M126*16</f>
        <v>174284.51039999994</v>
      </c>
      <c r="S126" s="146"/>
      <c r="T126" s="146"/>
      <c r="U126" s="146"/>
      <c r="V126" s="146"/>
      <c r="W126" s="114"/>
      <c r="X126" s="97">
        <f>9</f>
        <v>9</v>
      </c>
    </row>
    <row r="127" spans="1:24" s="129" customFormat="1" ht="30.75" thickBot="1" x14ac:dyDescent="0.3">
      <c r="A127" s="145" t="s">
        <v>723</v>
      </c>
      <c r="B127" s="123">
        <f t="shared" si="5"/>
        <v>8</v>
      </c>
      <c r="C127" s="124"/>
      <c r="D127" s="125" t="s">
        <v>724</v>
      </c>
      <c r="E127" s="124" t="s">
        <v>53</v>
      </c>
      <c r="F127" s="124" t="s">
        <v>380</v>
      </c>
      <c r="G127" s="124" t="s">
        <v>637</v>
      </c>
      <c r="H127" s="124" t="s">
        <v>725</v>
      </c>
      <c r="I127" s="124" t="s">
        <v>726</v>
      </c>
      <c r="J127" s="124" t="s">
        <v>123</v>
      </c>
      <c r="K127" s="124" t="s">
        <v>201</v>
      </c>
      <c r="L127" s="124" t="s">
        <v>272</v>
      </c>
      <c r="M127" s="126">
        <v>7147.7279999999992</v>
      </c>
      <c r="N127" s="126">
        <v>11685.968000000001</v>
      </c>
      <c r="O127" s="124"/>
      <c r="P127" s="127" t="s">
        <v>727</v>
      </c>
      <c r="Q127" s="127" t="s">
        <v>1124</v>
      </c>
      <c r="R127" s="127">
        <f>M127*5</f>
        <v>35738.639999999999</v>
      </c>
      <c r="S127" s="127"/>
      <c r="T127" s="127"/>
      <c r="U127" s="127"/>
      <c r="V127" s="127"/>
      <c r="W127" s="128">
        <v>1</v>
      </c>
    </row>
    <row r="128" spans="1:24" s="129" customFormat="1" ht="30.75" thickBot="1" x14ac:dyDescent="0.3">
      <c r="A128" s="131" t="s">
        <v>728</v>
      </c>
      <c r="B128" s="123">
        <f t="shared" si="5"/>
        <v>9</v>
      </c>
      <c r="C128" s="124"/>
      <c r="D128" s="125" t="s">
        <v>729</v>
      </c>
      <c r="E128" s="124" t="s">
        <v>53</v>
      </c>
      <c r="F128" s="124" t="s">
        <v>380</v>
      </c>
      <c r="G128" s="124" t="s">
        <v>637</v>
      </c>
      <c r="H128" s="124" t="s">
        <v>730</v>
      </c>
      <c r="I128" s="124" t="s">
        <v>731</v>
      </c>
      <c r="J128" s="124" t="s">
        <v>123</v>
      </c>
      <c r="K128" s="124" t="s">
        <v>257</v>
      </c>
      <c r="L128" s="124" t="s">
        <v>272</v>
      </c>
      <c r="M128" s="126">
        <v>6381.8999999999987</v>
      </c>
      <c r="N128" s="126">
        <v>10433.899999999998</v>
      </c>
      <c r="O128" s="124"/>
      <c r="P128" s="127" t="s">
        <v>732</v>
      </c>
      <c r="Q128" s="127" t="s">
        <v>1096</v>
      </c>
      <c r="R128" s="127">
        <f>M128*5</f>
        <v>31909.499999999993</v>
      </c>
      <c r="S128" s="127"/>
      <c r="T128" s="127"/>
      <c r="U128" s="127"/>
      <c r="V128" s="127"/>
      <c r="W128" s="128">
        <v>1</v>
      </c>
    </row>
    <row r="129" spans="1:24" s="129" customFormat="1" ht="30.75" thickBot="1" x14ac:dyDescent="0.3">
      <c r="A129" s="131" t="s">
        <v>733</v>
      </c>
      <c r="B129" s="123">
        <f t="shared" si="5"/>
        <v>10</v>
      </c>
      <c r="C129" s="124"/>
      <c r="D129" s="125" t="s">
        <v>734</v>
      </c>
      <c r="E129" s="124" t="s">
        <v>37</v>
      </c>
      <c r="F129" s="124" t="s">
        <v>380</v>
      </c>
      <c r="G129" s="124" t="s">
        <v>637</v>
      </c>
      <c r="H129" s="124" t="s">
        <v>735</v>
      </c>
      <c r="I129" s="124" t="s">
        <v>263</v>
      </c>
      <c r="J129" s="124" t="s">
        <v>123</v>
      </c>
      <c r="K129" s="124" t="s">
        <v>736</v>
      </c>
      <c r="L129" s="124" t="s">
        <v>272</v>
      </c>
      <c r="M129" s="126">
        <v>5670</v>
      </c>
      <c r="N129" s="126">
        <v>9270</v>
      </c>
      <c r="O129" s="124"/>
      <c r="P129" s="127" t="s">
        <v>737</v>
      </c>
      <c r="Q129" s="127" t="s">
        <v>1091</v>
      </c>
      <c r="R129" s="127">
        <f>M129*3</f>
        <v>17010</v>
      </c>
      <c r="S129" s="127"/>
      <c r="T129" s="127"/>
      <c r="U129" s="127"/>
      <c r="V129" s="127"/>
      <c r="W129" s="128">
        <v>1</v>
      </c>
    </row>
    <row r="130" spans="1:24" s="129" customFormat="1" ht="30.75" thickBot="1" x14ac:dyDescent="0.3">
      <c r="A130" s="145" t="s">
        <v>738</v>
      </c>
      <c r="B130" s="120">
        <f t="shared" si="5"/>
        <v>11</v>
      </c>
      <c r="C130" s="124"/>
      <c r="D130" s="125" t="s">
        <v>739</v>
      </c>
      <c r="E130" s="124" t="s">
        <v>37</v>
      </c>
      <c r="F130" s="124" t="s">
        <v>380</v>
      </c>
      <c r="G130" s="124" t="s">
        <v>637</v>
      </c>
      <c r="H130" s="124" t="s">
        <v>740</v>
      </c>
      <c r="I130" s="124" t="s">
        <v>741</v>
      </c>
      <c r="J130" s="124" t="s">
        <v>123</v>
      </c>
      <c r="K130" s="124" t="s">
        <v>736</v>
      </c>
      <c r="L130" s="124" t="s">
        <v>272</v>
      </c>
      <c r="M130" s="126">
        <v>5670</v>
      </c>
      <c r="N130" s="126">
        <v>9270</v>
      </c>
      <c r="O130" s="124"/>
      <c r="P130" s="127" t="s">
        <v>742</v>
      </c>
      <c r="Q130" s="127" t="s">
        <v>55</v>
      </c>
      <c r="R130" s="127">
        <f>M130*3</f>
        <v>17010</v>
      </c>
      <c r="S130" s="127"/>
      <c r="T130" s="127"/>
      <c r="U130" s="127"/>
      <c r="V130" s="127"/>
      <c r="W130" s="128">
        <v>1</v>
      </c>
    </row>
    <row r="131" spans="1:24" s="129" customFormat="1" ht="30.75" thickBot="1" x14ac:dyDescent="0.3">
      <c r="A131" s="145" t="s">
        <v>743</v>
      </c>
      <c r="B131" s="120">
        <f t="shared" si="5"/>
        <v>12</v>
      </c>
      <c r="C131" s="124"/>
      <c r="D131" s="125" t="s">
        <v>744</v>
      </c>
      <c r="E131" s="124" t="s">
        <v>37</v>
      </c>
      <c r="F131" s="124" t="s">
        <v>380</v>
      </c>
      <c r="G131" s="124" t="s">
        <v>637</v>
      </c>
      <c r="H131" s="124" t="s">
        <v>745</v>
      </c>
      <c r="I131" s="124" t="s">
        <v>746</v>
      </c>
      <c r="J131" s="124" t="s">
        <v>123</v>
      </c>
      <c r="K131" s="124" t="s">
        <v>201</v>
      </c>
      <c r="L131" s="124" t="s">
        <v>272</v>
      </c>
      <c r="M131" s="126">
        <f t="shared" ref="M131" si="6">N131*60%</f>
        <v>5400</v>
      </c>
      <c r="N131" s="126">
        <v>9000</v>
      </c>
      <c r="O131" s="124"/>
      <c r="P131" s="127" t="s">
        <v>747</v>
      </c>
      <c r="Q131" s="127" t="s">
        <v>1125</v>
      </c>
      <c r="R131" s="127"/>
      <c r="S131" s="127"/>
      <c r="T131" s="127"/>
      <c r="U131" s="127"/>
      <c r="V131" s="127"/>
      <c r="W131" s="128">
        <v>1</v>
      </c>
      <c r="X131" s="129">
        <f>14</f>
        <v>14</v>
      </c>
    </row>
    <row r="132" spans="1:24" s="129" customFormat="1" ht="30" x14ac:dyDescent="0.25">
      <c r="A132" s="145" t="s">
        <v>748</v>
      </c>
      <c r="B132" s="120">
        <f t="shared" si="5"/>
        <v>13</v>
      </c>
      <c r="C132" s="124"/>
      <c r="D132" s="125" t="s">
        <v>749</v>
      </c>
      <c r="E132" s="124" t="s">
        <v>37</v>
      </c>
      <c r="F132" s="124" t="s">
        <v>380</v>
      </c>
      <c r="G132" s="124" t="s">
        <v>637</v>
      </c>
      <c r="H132" s="124" t="s">
        <v>750</v>
      </c>
      <c r="I132" s="124" t="s">
        <v>746</v>
      </c>
      <c r="J132" s="124" t="s">
        <v>123</v>
      </c>
      <c r="K132" s="124" t="s">
        <v>201</v>
      </c>
      <c r="L132" s="124" t="s">
        <v>272</v>
      </c>
      <c r="M132" s="126">
        <v>5400</v>
      </c>
      <c r="N132" s="126">
        <v>9000</v>
      </c>
      <c r="O132" s="124"/>
      <c r="P132" s="127" t="s">
        <v>751</v>
      </c>
      <c r="Q132" s="127" t="s">
        <v>1125</v>
      </c>
      <c r="R132" s="127"/>
      <c r="S132" s="127"/>
      <c r="T132" s="127"/>
      <c r="U132" s="127"/>
      <c r="V132" s="127"/>
      <c r="W132" s="128">
        <v>1</v>
      </c>
    </row>
    <row r="133" spans="1:24" s="144" customFormat="1" ht="15.75" thickBot="1" x14ac:dyDescent="0.3">
      <c r="A133" s="310" t="s">
        <v>30</v>
      </c>
      <c r="B133" s="311"/>
      <c r="C133" s="311"/>
      <c r="D133" s="311"/>
      <c r="E133" s="311"/>
      <c r="F133" s="311"/>
      <c r="G133" s="311"/>
      <c r="H133" s="311"/>
      <c r="I133" s="311"/>
      <c r="J133" s="311"/>
      <c r="K133" s="311"/>
      <c r="L133" s="311"/>
      <c r="M133" s="311"/>
      <c r="N133" s="311"/>
      <c r="O133" s="312"/>
      <c r="P133" s="143"/>
      <c r="Q133" s="143"/>
      <c r="R133" s="143"/>
      <c r="S133" s="143"/>
      <c r="T133" s="143"/>
      <c r="U133" s="143"/>
      <c r="V133" s="143"/>
      <c r="W133" s="106"/>
    </row>
    <row r="134" spans="1:24" s="129" customFormat="1" ht="30.75" thickBot="1" x14ac:dyDescent="0.3">
      <c r="A134" s="131" t="s">
        <v>752</v>
      </c>
      <c r="B134" s="123">
        <v>1</v>
      </c>
      <c r="C134" s="124"/>
      <c r="D134" s="125" t="s">
        <v>753</v>
      </c>
      <c r="E134" s="124" t="s">
        <v>754</v>
      </c>
      <c r="F134" s="124" t="s">
        <v>754</v>
      </c>
      <c r="G134" s="124" t="s">
        <v>755</v>
      </c>
      <c r="H134" s="124" t="s">
        <v>756</v>
      </c>
      <c r="I134" s="124" t="s">
        <v>757</v>
      </c>
      <c r="J134" s="124" t="s">
        <v>123</v>
      </c>
      <c r="K134" s="124" t="s">
        <v>141</v>
      </c>
      <c r="L134" s="124" t="s">
        <v>758</v>
      </c>
      <c r="M134" s="126">
        <v>16200</v>
      </c>
      <c r="N134" s="126">
        <v>27000</v>
      </c>
      <c r="O134" s="124"/>
      <c r="P134" s="127">
        <v>1715129015</v>
      </c>
      <c r="Q134" s="127" t="s">
        <v>1083</v>
      </c>
      <c r="R134" s="127"/>
      <c r="S134" s="127"/>
      <c r="T134" s="127"/>
      <c r="U134" s="127"/>
      <c r="V134" s="127"/>
      <c r="W134" s="128">
        <v>1</v>
      </c>
      <c r="X134" s="129">
        <f>14</f>
        <v>14</v>
      </c>
    </row>
    <row r="135" spans="1:24" s="129" customFormat="1" ht="30.75" thickBot="1" x14ac:dyDescent="0.3">
      <c r="A135" s="131" t="s">
        <v>759</v>
      </c>
      <c r="B135" s="123">
        <f>B134+1</f>
        <v>2</v>
      </c>
      <c r="C135" s="124"/>
      <c r="D135" s="125" t="s">
        <v>760</v>
      </c>
      <c r="E135" s="124" t="s">
        <v>761</v>
      </c>
      <c r="F135" s="124"/>
      <c r="G135" s="124" t="s">
        <v>762</v>
      </c>
      <c r="H135" s="124" t="s">
        <v>763</v>
      </c>
      <c r="I135" s="124" t="s">
        <v>200</v>
      </c>
      <c r="J135" s="124" t="s">
        <v>123</v>
      </c>
      <c r="K135" s="124" t="s">
        <v>764</v>
      </c>
      <c r="L135" s="124" t="s">
        <v>765</v>
      </c>
      <c r="M135" s="126">
        <f>N135*60%</f>
        <v>13200</v>
      </c>
      <c r="N135" s="126">
        <v>22000</v>
      </c>
      <c r="O135" s="124"/>
      <c r="P135" s="127"/>
      <c r="Q135" s="127" t="s">
        <v>55</v>
      </c>
      <c r="R135" s="127">
        <f>M135*3</f>
        <v>39600</v>
      </c>
      <c r="S135" s="127"/>
      <c r="T135" s="127"/>
      <c r="U135" s="127"/>
      <c r="V135" s="127"/>
      <c r="W135" s="128">
        <v>1</v>
      </c>
      <c r="X135" s="129">
        <f>11</f>
        <v>11</v>
      </c>
    </row>
    <row r="136" spans="1:24" s="129" customFormat="1" ht="60.75" thickBot="1" x14ac:dyDescent="0.3">
      <c r="A136" s="131" t="s">
        <v>766</v>
      </c>
      <c r="B136" s="123">
        <f t="shared" ref="B136:B158" si="7">B135+1</f>
        <v>3</v>
      </c>
      <c r="C136" s="124"/>
      <c r="D136" s="125" t="s">
        <v>767</v>
      </c>
      <c r="E136" s="124" t="s">
        <v>768</v>
      </c>
      <c r="F136" s="124" t="s">
        <v>768</v>
      </c>
      <c r="G136" s="124" t="s">
        <v>769</v>
      </c>
      <c r="H136" s="124" t="s">
        <v>770</v>
      </c>
      <c r="I136" s="124" t="s">
        <v>771</v>
      </c>
      <c r="J136" s="124" t="s">
        <v>483</v>
      </c>
      <c r="K136" s="124" t="s">
        <v>325</v>
      </c>
      <c r="L136" s="124" t="s">
        <v>772</v>
      </c>
      <c r="M136" s="126">
        <v>13200</v>
      </c>
      <c r="N136" s="126">
        <v>22000</v>
      </c>
      <c r="O136" s="124"/>
      <c r="P136" s="127"/>
      <c r="Q136" s="127" t="s">
        <v>1097</v>
      </c>
      <c r="R136" s="127"/>
      <c r="S136" s="127"/>
      <c r="T136" s="127"/>
      <c r="U136" s="127"/>
      <c r="V136" s="127"/>
      <c r="W136" s="128">
        <v>1</v>
      </c>
    </row>
    <row r="137" spans="1:24" s="129" customFormat="1" ht="90.75" thickBot="1" x14ac:dyDescent="0.3">
      <c r="A137" s="131" t="s">
        <v>773</v>
      </c>
      <c r="B137" s="123">
        <f t="shared" si="7"/>
        <v>4</v>
      </c>
      <c r="C137" s="124"/>
      <c r="D137" s="125" t="s">
        <v>774</v>
      </c>
      <c r="E137" s="124" t="s">
        <v>775</v>
      </c>
      <c r="F137" s="124" t="s">
        <v>775</v>
      </c>
      <c r="G137" s="124" t="s">
        <v>776</v>
      </c>
      <c r="H137" s="124" t="s">
        <v>777</v>
      </c>
      <c r="I137" s="124" t="s">
        <v>778</v>
      </c>
      <c r="J137" s="124" t="s">
        <v>123</v>
      </c>
      <c r="K137" s="124" t="s">
        <v>155</v>
      </c>
      <c r="L137" s="124" t="s">
        <v>779</v>
      </c>
      <c r="M137" s="126">
        <f>N137*60%</f>
        <v>12000</v>
      </c>
      <c r="N137" s="126">
        <v>20000</v>
      </c>
      <c r="O137" s="124"/>
      <c r="P137" s="127" t="s">
        <v>780</v>
      </c>
      <c r="Q137" s="127" t="s">
        <v>1083</v>
      </c>
      <c r="R137" s="127"/>
      <c r="S137" s="127"/>
      <c r="T137" s="127"/>
      <c r="U137" s="127"/>
      <c r="V137" s="127"/>
      <c r="W137" s="128">
        <v>1</v>
      </c>
      <c r="X137" s="129">
        <f>9</f>
        <v>9</v>
      </c>
    </row>
    <row r="138" spans="1:24" s="129" customFormat="1" ht="30.75" thickBot="1" x14ac:dyDescent="0.3">
      <c r="A138" s="131" t="s">
        <v>781</v>
      </c>
      <c r="B138" s="123">
        <f t="shared" si="7"/>
        <v>5</v>
      </c>
      <c r="C138" s="124"/>
      <c r="D138" s="125" t="s">
        <v>782</v>
      </c>
      <c r="E138" s="124" t="s">
        <v>783</v>
      </c>
      <c r="F138" s="124" t="s">
        <v>563</v>
      </c>
      <c r="G138" s="124" t="s">
        <v>769</v>
      </c>
      <c r="H138" s="124" t="s">
        <v>784</v>
      </c>
      <c r="I138" s="124" t="s">
        <v>785</v>
      </c>
      <c r="J138" s="124" t="s">
        <v>123</v>
      </c>
      <c r="K138" s="124" t="s">
        <v>786</v>
      </c>
      <c r="L138" s="124" t="s">
        <v>787</v>
      </c>
      <c r="M138" s="126">
        <v>11854.079999999996</v>
      </c>
      <c r="N138" s="126">
        <v>19380.479999999992</v>
      </c>
      <c r="O138" s="124"/>
      <c r="P138" s="164" t="s">
        <v>780</v>
      </c>
      <c r="Q138" s="164" t="s">
        <v>1095</v>
      </c>
      <c r="R138" s="164">
        <f>M138*9</f>
        <v>106686.71999999997</v>
      </c>
      <c r="S138" s="164"/>
      <c r="T138" s="164"/>
      <c r="U138" s="164"/>
      <c r="V138" s="164"/>
      <c r="W138" s="165">
        <v>1</v>
      </c>
      <c r="X138" s="129">
        <f>11</f>
        <v>11</v>
      </c>
    </row>
    <row r="139" spans="1:24" s="129" customFormat="1" ht="30.75" thickBot="1" x14ac:dyDescent="0.3">
      <c r="A139" s="131" t="s">
        <v>788</v>
      </c>
      <c r="B139" s="123">
        <f t="shared" si="7"/>
        <v>6</v>
      </c>
      <c r="C139" s="124"/>
      <c r="D139" s="125" t="s">
        <v>789</v>
      </c>
      <c r="E139" s="124" t="s">
        <v>790</v>
      </c>
      <c r="F139" s="124"/>
      <c r="G139" s="124" t="s">
        <v>769</v>
      </c>
      <c r="H139" s="124" t="s">
        <v>791</v>
      </c>
      <c r="I139" s="124" t="s">
        <v>792</v>
      </c>
      <c r="J139" s="124" t="s">
        <v>123</v>
      </c>
      <c r="K139" s="124" t="s">
        <v>793</v>
      </c>
      <c r="L139" s="124" t="s">
        <v>627</v>
      </c>
      <c r="M139" s="126">
        <v>6300</v>
      </c>
      <c r="N139" s="126">
        <v>10500</v>
      </c>
      <c r="O139" s="124"/>
      <c r="P139" s="154">
        <v>1643249888</v>
      </c>
      <c r="Q139" s="154" t="s">
        <v>1125</v>
      </c>
      <c r="R139" s="154"/>
      <c r="S139" s="154"/>
      <c r="T139" s="154"/>
      <c r="U139" s="154"/>
      <c r="V139" s="154"/>
      <c r="W139" s="128">
        <v>1</v>
      </c>
    </row>
    <row r="140" spans="1:24" s="129" customFormat="1" ht="30.75" thickBot="1" x14ac:dyDescent="0.3">
      <c r="A140" s="131" t="s">
        <v>794</v>
      </c>
      <c r="B140" s="123">
        <f t="shared" si="7"/>
        <v>7</v>
      </c>
      <c r="C140" s="124"/>
      <c r="D140" s="125" t="s">
        <v>795</v>
      </c>
      <c r="E140" s="124" t="s">
        <v>796</v>
      </c>
      <c r="F140" s="124"/>
      <c r="G140" s="124"/>
      <c r="H140" s="124"/>
      <c r="I140" s="124" t="s">
        <v>32</v>
      </c>
      <c r="J140" s="124"/>
      <c r="K140" s="124" t="s">
        <v>141</v>
      </c>
      <c r="L140" s="124"/>
      <c r="M140" s="149">
        <f>N140*60%</f>
        <v>7200</v>
      </c>
      <c r="N140" s="189">
        <v>12000</v>
      </c>
      <c r="O140" s="124"/>
      <c r="P140" s="154" t="s">
        <v>797</v>
      </c>
      <c r="Q140" s="154" t="s">
        <v>42</v>
      </c>
      <c r="R140" s="154"/>
      <c r="S140" s="154"/>
      <c r="T140" s="154"/>
      <c r="U140" s="154"/>
      <c r="V140" s="154"/>
      <c r="W140" s="128">
        <v>1</v>
      </c>
    </row>
    <row r="141" spans="1:24" s="129" customFormat="1" ht="16.5" thickBot="1" x14ac:dyDescent="0.3">
      <c r="A141" s="131" t="s">
        <v>798</v>
      </c>
      <c r="B141" s="123">
        <f t="shared" si="7"/>
        <v>8</v>
      </c>
      <c r="C141" s="124"/>
      <c r="D141" s="125" t="s">
        <v>799</v>
      </c>
      <c r="E141" s="124" t="s">
        <v>800</v>
      </c>
      <c r="F141" s="124"/>
      <c r="G141" s="124" t="s">
        <v>801</v>
      </c>
      <c r="H141" s="124" t="s">
        <v>802</v>
      </c>
      <c r="I141" s="124" t="s">
        <v>32</v>
      </c>
      <c r="J141" s="124"/>
      <c r="K141" s="124" t="s">
        <v>141</v>
      </c>
      <c r="L141" s="124" t="s">
        <v>803</v>
      </c>
      <c r="M141" s="149">
        <f>N141*60%</f>
        <v>9000</v>
      </c>
      <c r="N141" s="189">
        <v>15000</v>
      </c>
      <c r="O141" s="124"/>
      <c r="P141" s="154" t="s">
        <v>804</v>
      </c>
      <c r="Q141" s="154" t="s">
        <v>42</v>
      </c>
      <c r="R141" s="154"/>
      <c r="S141" s="154"/>
      <c r="T141" s="154"/>
      <c r="U141" s="154"/>
      <c r="V141" s="154"/>
      <c r="W141" s="128">
        <v>1</v>
      </c>
    </row>
    <row r="142" spans="1:24" s="129" customFormat="1" ht="30.75" thickBot="1" x14ac:dyDescent="0.3">
      <c r="A142" s="131" t="s">
        <v>805</v>
      </c>
      <c r="B142" s="123">
        <f t="shared" si="7"/>
        <v>9</v>
      </c>
      <c r="C142" s="124"/>
      <c r="D142" s="125" t="s">
        <v>806</v>
      </c>
      <c r="E142" s="124" t="s">
        <v>34</v>
      </c>
      <c r="F142" s="124"/>
      <c r="G142" s="124" t="s">
        <v>807</v>
      </c>
      <c r="H142" s="124"/>
      <c r="I142" s="124" t="s">
        <v>808</v>
      </c>
      <c r="J142" s="124"/>
      <c r="K142" s="124" t="s">
        <v>809</v>
      </c>
      <c r="L142" s="124"/>
      <c r="M142" s="149">
        <f t="shared" ref="M142:M158" si="8">N142*60%</f>
        <v>6000</v>
      </c>
      <c r="N142" s="189">
        <v>10000</v>
      </c>
      <c r="O142" s="124"/>
      <c r="P142" s="154" t="s">
        <v>810</v>
      </c>
      <c r="Q142" s="154" t="s">
        <v>1126</v>
      </c>
      <c r="R142" s="154"/>
      <c r="S142" s="154"/>
      <c r="T142" s="154"/>
      <c r="U142" s="154"/>
      <c r="V142" s="154"/>
      <c r="W142" s="128">
        <v>1</v>
      </c>
    </row>
    <row r="143" spans="1:24" ht="30.75" thickBot="1" x14ac:dyDescent="0.3">
      <c r="A143" s="145" t="s">
        <v>811</v>
      </c>
      <c r="B143" s="120">
        <f t="shared" si="7"/>
        <v>10</v>
      </c>
      <c r="C143" s="86"/>
      <c r="D143" s="92" t="s">
        <v>84</v>
      </c>
      <c r="E143" s="86" t="s">
        <v>34</v>
      </c>
      <c r="F143" s="86"/>
      <c r="G143" s="86" t="s">
        <v>807</v>
      </c>
      <c r="H143" s="86"/>
      <c r="I143" s="86" t="s">
        <v>32</v>
      </c>
      <c r="J143" s="86"/>
      <c r="K143" s="86" t="s">
        <v>809</v>
      </c>
      <c r="L143" s="86"/>
      <c r="M143" s="190">
        <f t="shared" si="8"/>
        <v>6000</v>
      </c>
      <c r="N143" s="191">
        <v>10000</v>
      </c>
      <c r="O143" s="86"/>
      <c r="P143" s="192" t="s">
        <v>812</v>
      </c>
      <c r="Q143" s="154" t="s">
        <v>42</v>
      </c>
      <c r="R143" s="192"/>
      <c r="S143" s="192"/>
      <c r="T143" s="192"/>
      <c r="U143" s="192"/>
      <c r="V143" s="192"/>
      <c r="W143" s="114"/>
    </row>
    <row r="144" spans="1:24" s="129" customFormat="1" ht="16.5" thickBot="1" x14ac:dyDescent="0.3">
      <c r="A144" s="131" t="s">
        <v>813</v>
      </c>
      <c r="B144" s="123">
        <f t="shared" si="7"/>
        <v>11</v>
      </c>
      <c r="C144" s="124"/>
      <c r="D144" s="125" t="s">
        <v>814</v>
      </c>
      <c r="E144" s="124" t="s">
        <v>34</v>
      </c>
      <c r="F144" s="124"/>
      <c r="G144" s="124" t="s">
        <v>807</v>
      </c>
      <c r="H144" s="124"/>
      <c r="I144" s="124" t="s">
        <v>32</v>
      </c>
      <c r="J144" s="124"/>
      <c r="K144" s="124" t="s">
        <v>141</v>
      </c>
      <c r="L144" s="124"/>
      <c r="M144" s="149">
        <f t="shared" si="8"/>
        <v>6000</v>
      </c>
      <c r="N144" s="189">
        <v>10000</v>
      </c>
      <c r="O144" s="124"/>
      <c r="P144" s="154" t="s">
        <v>815</v>
      </c>
      <c r="Q144" s="154" t="s">
        <v>42</v>
      </c>
      <c r="R144" s="154"/>
      <c r="S144" s="154"/>
      <c r="T144" s="154"/>
      <c r="U144" s="154"/>
      <c r="V144" s="154"/>
      <c r="W144" s="128">
        <v>1</v>
      </c>
    </row>
    <row r="145" spans="1:23" s="129" customFormat="1" ht="16.5" thickBot="1" x14ac:dyDescent="0.3">
      <c r="A145" s="131" t="s">
        <v>816</v>
      </c>
      <c r="B145" s="123">
        <f t="shared" si="7"/>
        <v>12</v>
      </c>
      <c r="C145" s="124"/>
      <c r="D145" s="125" t="s">
        <v>817</v>
      </c>
      <c r="E145" s="124" t="s">
        <v>34</v>
      </c>
      <c r="F145" s="124"/>
      <c r="G145" s="124" t="s">
        <v>807</v>
      </c>
      <c r="H145" s="124"/>
      <c r="I145" s="124" t="s">
        <v>32</v>
      </c>
      <c r="J145" s="124"/>
      <c r="K145" s="124" t="s">
        <v>141</v>
      </c>
      <c r="L145" s="124"/>
      <c r="M145" s="149">
        <f t="shared" si="8"/>
        <v>6000</v>
      </c>
      <c r="N145" s="189">
        <v>10000</v>
      </c>
      <c r="O145" s="124"/>
      <c r="P145" s="154" t="s">
        <v>818</v>
      </c>
      <c r="Q145" s="154" t="s">
        <v>42</v>
      </c>
      <c r="R145" s="154"/>
      <c r="S145" s="154"/>
      <c r="T145" s="154"/>
      <c r="U145" s="154"/>
      <c r="V145" s="154"/>
      <c r="W145" s="128">
        <v>1</v>
      </c>
    </row>
    <row r="146" spans="1:23" ht="16.5" thickBot="1" x14ac:dyDescent="0.3">
      <c r="A146" s="145" t="s">
        <v>819</v>
      </c>
      <c r="B146" s="120">
        <f t="shared" si="7"/>
        <v>13</v>
      </c>
      <c r="C146" s="86"/>
      <c r="D146" s="92" t="s">
        <v>85</v>
      </c>
      <c r="E146" s="86" t="s">
        <v>34</v>
      </c>
      <c r="F146" s="86"/>
      <c r="G146" s="86" t="s">
        <v>807</v>
      </c>
      <c r="H146" s="86"/>
      <c r="I146" s="86" t="s">
        <v>32</v>
      </c>
      <c r="J146" s="86"/>
      <c r="K146" s="86" t="s">
        <v>155</v>
      </c>
      <c r="L146" s="86"/>
      <c r="M146" s="190">
        <f t="shared" si="8"/>
        <v>6000</v>
      </c>
      <c r="N146" s="191">
        <v>10000</v>
      </c>
      <c r="O146" s="86"/>
      <c r="P146" s="192" t="s">
        <v>820</v>
      </c>
      <c r="Q146" s="154" t="s">
        <v>42</v>
      </c>
      <c r="R146" s="192"/>
      <c r="S146" s="192"/>
      <c r="T146" s="192"/>
      <c r="U146" s="192"/>
      <c r="V146" s="192"/>
      <c r="W146" s="114"/>
    </row>
    <row r="147" spans="1:23" s="129" customFormat="1" ht="16.5" thickBot="1" x14ac:dyDescent="0.3">
      <c r="A147" s="131" t="s">
        <v>821</v>
      </c>
      <c r="B147" s="123">
        <f t="shared" si="7"/>
        <v>14</v>
      </c>
      <c r="C147" s="124"/>
      <c r="D147" s="125" t="s">
        <v>822</v>
      </c>
      <c r="E147" s="124" t="s">
        <v>34</v>
      </c>
      <c r="F147" s="124"/>
      <c r="G147" s="124" t="s">
        <v>807</v>
      </c>
      <c r="H147" s="124"/>
      <c r="I147" s="124" t="s">
        <v>32</v>
      </c>
      <c r="J147" s="124"/>
      <c r="K147" s="124" t="s">
        <v>155</v>
      </c>
      <c r="L147" s="124"/>
      <c r="M147" s="149">
        <f t="shared" si="8"/>
        <v>6000</v>
      </c>
      <c r="N147" s="189">
        <v>10000</v>
      </c>
      <c r="O147" s="124"/>
      <c r="P147" s="154" t="s">
        <v>823</v>
      </c>
      <c r="Q147" s="154" t="s">
        <v>42</v>
      </c>
      <c r="R147" s="154"/>
      <c r="S147" s="154"/>
      <c r="T147" s="154"/>
      <c r="U147" s="154"/>
      <c r="V147" s="154"/>
      <c r="W147" s="128">
        <v>1</v>
      </c>
    </row>
    <row r="148" spans="1:23" s="129" customFormat="1" ht="16.5" thickBot="1" x14ac:dyDescent="0.3">
      <c r="A148" s="131" t="s">
        <v>824</v>
      </c>
      <c r="B148" s="123">
        <f t="shared" si="7"/>
        <v>15</v>
      </c>
      <c r="C148" s="124"/>
      <c r="D148" s="125" t="s">
        <v>825</v>
      </c>
      <c r="E148" s="124" t="s">
        <v>34</v>
      </c>
      <c r="F148" s="124"/>
      <c r="G148" s="124" t="s">
        <v>807</v>
      </c>
      <c r="H148" s="124"/>
      <c r="I148" s="124" t="s">
        <v>32</v>
      </c>
      <c r="J148" s="124"/>
      <c r="K148" s="124" t="s">
        <v>155</v>
      </c>
      <c r="L148" s="124"/>
      <c r="M148" s="149">
        <f t="shared" si="8"/>
        <v>6000</v>
      </c>
      <c r="N148" s="189">
        <v>10000</v>
      </c>
      <c r="O148" s="124"/>
      <c r="P148" s="154" t="s">
        <v>826</v>
      </c>
      <c r="Q148" s="154" t="s">
        <v>42</v>
      </c>
      <c r="R148" s="154"/>
      <c r="S148" s="154"/>
      <c r="T148" s="154"/>
      <c r="U148" s="154"/>
      <c r="V148" s="154"/>
      <c r="W148" s="128">
        <v>1</v>
      </c>
    </row>
    <row r="149" spans="1:23" s="129" customFormat="1" ht="16.5" thickBot="1" x14ac:dyDescent="0.3">
      <c r="A149" s="131" t="s">
        <v>827</v>
      </c>
      <c r="B149" s="123">
        <f t="shared" si="7"/>
        <v>16</v>
      </c>
      <c r="C149" s="124"/>
      <c r="D149" s="125" t="s">
        <v>828</v>
      </c>
      <c r="E149" s="124" t="s">
        <v>34</v>
      </c>
      <c r="F149" s="124"/>
      <c r="G149" s="124" t="s">
        <v>807</v>
      </c>
      <c r="H149" s="124"/>
      <c r="I149" s="124" t="s">
        <v>32</v>
      </c>
      <c r="J149" s="124"/>
      <c r="K149" s="124" t="s">
        <v>155</v>
      </c>
      <c r="L149" s="124"/>
      <c r="M149" s="149">
        <f t="shared" si="8"/>
        <v>6000</v>
      </c>
      <c r="N149" s="189">
        <v>10000</v>
      </c>
      <c r="O149" s="124"/>
      <c r="P149" s="154" t="s">
        <v>829</v>
      </c>
      <c r="Q149" s="154" t="s">
        <v>42</v>
      </c>
      <c r="R149" s="154"/>
      <c r="S149" s="154"/>
      <c r="T149" s="154"/>
      <c r="U149" s="154"/>
      <c r="V149" s="154"/>
      <c r="W149" s="128">
        <v>1</v>
      </c>
    </row>
    <row r="150" spans="1:23" s="129" customFormat="1" ht="16.5" thickBot="1" x14ac:dyDescent="0.3">
      <c r="A150" s="131" t="s">
        <v>830</v>
      </c>
      <c r="B150" s="123">
        <f t="shared" si="7"/>
        <v>17</v>
      </c>
      <c r="C150" s="124"/>
      <c r="D150" s="125" t="s">
        <v>831</v>
      </c>
      <c r="E150" s="124" t="s">
        <v>37</v>
      </c>
      <c r="F150" s="124"/>
      <c r="G150" s="124"/>
      <c r="H150" s="124"/>
      <c r="I150" s="124" t="s">
        <v>32</v>
      </c>
      <c r="J150" s="124"/>
      <c r="K150" s="124" t="s">
        <v>155</v>
      </c>
      <c r="L150" s="124"/>
      <c r="M150" s="149">
        <f t="shared" si="8"/>
        <v>5400</v>
      </c>
      <c r="N150" s="189">
        <v>9000</v>
      </c>
      <c r="O150" s="124"/>
      <c r="P150" s="154" t="s">
        <v>832</v>
      </c>
      <c r="Q150" s="154" t="s">
        <v>42</v>
      </c>
      <c r="R150" s="154"/>
      <c r="S150" s="154"/>
      <c r="T150" s="154"/>
      <c r="U150" s="154"/>
      <c r="V150" s="154"/>
      <c r="W150" s="128">
        <v>1</v>
      </c>
    </row>
    <row r="151" spans="1:23" s="129" customFormat="1" ht="16.5" thickBot="1" x14ac:dyDescent="0.3">
      <c r="A151" s="131" t="s">
        <v>833</v>
      </c>
      <c r="B151" s="123">
        <f t="shared" si="7"/>
        <v>18</v>
      </c>
      <c r="C151" s="124"/>
      <c r="D151" s="125" t="s">
        <v>834</v>
      </c>
      <c r="E151" s="124" t="s">
        <v>37</v>
      </c>
      <c r="F151" s="124"/>
      <c r="G151" s="124"/>
      <c r="H151" s="124"/>
      <c r="I151" s="124" t="s">
        <v>32</v>
      </c>
      <c r="J151" s="124"/>
      <c r="K151" s="124" t="s">
        <v>835</v>
      </c>
      <c r="L151" s="124"/>
      <c r="M151" s="149">
        <f t="shared" si="8"/>
        <v>5400</v>
      </c>
      <c r="N151" s="189">
        <v>9000</v>
      </c>
      <c r="O151" s="124"/>
      <c r="P151" s="154" t="s">
        <v>836</v>
      </c>
      <c r="Q151" s="154" t="s">
        <v>42</v>
      </c>
      <c r="R151" s="154"/>
      <c r="S151" s="154"/>
      <c r="T151" s="154"/>
      <c r="U151" s="154"/>
      <c r="V151" s="154"/>
      <c r="W151" s="128">
        <v>1</v>
      </c>
    </row>
    <row r="152" spans="1:23" s="129" customFormat="1" ht="16.5" thickBot="1" x14ac:dyDescent="0.3">
      <c r="A152" s="131" t="s">
        <v>837</v>
      </c>
      <c r="B152" s="123">
        <f t="shared" si="7"/>
        <v>19</v>
      </c>
      <c r="C152" s="124"/>
      <c r="D152" s="125" t="s">
        <v>838</v>
      </c>
      <c r="E152" s="124" t="s">
        <v>37</v>
      </c>
      <c r="F152" s="124"/>
      <c r="G152" s="124"/>
      <c r="H152" s="124"/>
      <c r="I152" s="124" t="s">
        <v>32</v>
      </c>
      <c r="J152" s="124"/>
      <c r="K152" s="124" t="s">
        <v>155</v>
      </c>
      <c r="L152" s="124"/>
      <c r="M152" s="149">
        <f t="shared" si="8"/>
        <v>5400</v>
      </c>
      <c r="N152" s="189">
        <v>9000</v>
      </c>
      <c r="O152" s="124"/>
      <c r="P152" s="154" t="s">
        <v>839</v>
      </c>
      <c r="Q152" s="154" t="s">
        <v>42</v>
      </c>
      <c r="R152" s="154"/>
      <c r="S152" s="154"/>
      <c r="T152" s="154"/>
      <c r="U152" s="154"/>
      <c r="V152" s="154"/>
      <c r="W152" s="128">
        <v>1</v>
      </c>
    </row>
    <row r="153" spans="1:23" s="129" customFormat="1" ht="16.5" thickBot="1" x14ac:dyDescent="0.3">
      <c r="A153" s="131" t="s">
        <v>840</v>
      </c>
      <c r="B153" s="123">
        <f t="shared" si="7"/>
        <v>20</v>
      </c>
      <c r="C153" s="124"/>
      <c r="D153" s="125" t="s">
        <v>841</v>
      </c>
      <c r="E153" s="124" t="s">
        <v>37</v>
      </c>
      <c r="F153" s="124"/>
      <c r="G153" s="124"/>
      <c r="H153" s="124"/>
      <c r="I153" s="124" t="s">
        <v>32</v>
      </c>
      <c r="J153" s="124"/>
      <c r="K153" s="124" t="s">
        <v>155</v>
      </c>
      <c r="L153" s="124"/>
      <c r="M153" s="149">
        <f t="shared" si="8"/>
        <v>5400</v>
      </c>
      <c r="N153" s="189">
        <v>9000</v>
      </c>
      <c r="O153" s="124"/>
      <c r="P153" s="154" t="s">
        <v>842</v>
      </c>
      <c r="Q153" s="154" t="s">
        <v>42</v>
      </c>
      <c r="R153" s="154"/>
      <c r="S153" s="154"/>
      <c r="T153" s="154"/>
      <c r="U153" s="154"/>
      <c r="V153" s="154"/>
      <c r="W153" s="128">
        <v>1</v>
      </c>
    </row>
    <row r="154" spans="1:23" s="129" customFormat="1" ht="16.5" thickBot="1" x14ac:dyDescent="0.3">
      <c r="A154" s="131" t="s">
        <v>843</v>
      </c>
      <c r="B154" s="123">
        <f t="shared" si="7"/>
        <v>21</v>
      </c>
      <c r="C154" s="124"/>
      <c r="D154" s="125" t="s">
        <v>844</v>
      </c>
      <c r="E154" s="124" t="s">
        <v>37</v>
      </c>
      <c r="F154" s="124"/>
      <c r="G154" s="124"/>
      <c r="H154" s="124"/>
      <c r="I154" s="124" t="s">
        <v>32</v>
      </c>
      <c r="J154" s="124"/>
      <c r="K154" s="124" t="s">
        <v>141</v>
      </c>
      <c r="L154" s="124"/>
      <c r="M154" s="149">
        <f t="shared" si="8"/>
        <v>5400</v>
      </c>
      <c r="N154" s="189">
        <v>9000</v>
      </c>
      <c r="O154" s="124"/>
      <c r="P154" s="154" t="s">
        <v>845</v>
      </c>
      <c r="Q154" s="154" t="s">
        <v>42</v>
      </c>
      <c r="R154" s="154"/>
      <c r="S154" s="154"/>
      <c r="T154" s="154"/>
      <c r="U154" s="154"/>
      <c r="V154" s="154"/>
      <c r="W154" s="128">
        <v>1</v>
      </c>
    </row>
    <row r="155" spans="1:23" s="129" customFormat="1" ht="16.5" thickBot="1" x14ac:dyDescent="0.3">
      <c r="A155" s="131" t="s">
        <v>846</v>
      </c>
      <c r="B155" s="123">
        <f t="shared" si="7"/>
        <v>22</v>
      </c>
      <c r="C155" s="124"/>
      <c r="D155" s="125" t="s">
        <v>847</v>
      </c>
      <c r="E155" s="124" t="s">
        <v>37</v>
      </c>
      <c r="F155" s="124"/>
      <c r="G155" s="124"/>
      <c r="H155" s="124"/>
      <c r="I155" s="124" t="s">
        <v>32</v>
      </c>
      <c r="J155" s="124"/>
      <c r="K155" s="124" t="s">
        <v>155</v>
      </c>
      <c r="L155" s="124"/>
      <c r="M155" s="149">
        <f t="shared" si="8"/>
        <v>5400</v>
      </c>
      <c r="N155" s="189">
        <v>9000</v>
      </c>
      <c r="O155" s="124"/>
      <c r="P155" s="154" t="s">
        <v>848</v>
      </c>
      <c r="Q155" s="154" t="s">
        <v>42</v>
      </c>
      <c r="R155" s="154"/>
      <c r="S155" s="154"/>
      <c r="T155" s="154"/>
      <c r="U155" s="154"/>
      <c r="V155" s="154"/>
      <c r="W155" s="128">
        <v>1</v>
      </c>
    </row>
    <row r="156" spans="1:23" s="129" customFormat="1" ht="16.5" thickBot="1" x14ac:dyDescent="0.3">
      <c r="A156" s="131" t="s">
        <v>849</v>
      </c>
      <c r="B156" s="123">
        <f t="shared" si="7"/>
        <v>23</v>
      </c>
      <c r="C156" s="124"/>
      <c r="D156" s="125" t="s">
        <v>850</v>
      </c>
      <c r="E156" s="124" t="s">
        <v>37</v>
      </c>
      <c r="F156" s="124"/>
      <c r="G156" s="124"/>
      <c r="H156" s="124"/>
      <c r="I156" s="124" t="s">
        <v>32</v>
      </c>
      <c r="J156" s="124"/>
      <c r="K156" s="124" t="s">
        <v>155</v>
      </c>
      <c r="L156" s="124"/>
      <c r="M156" s="149">
        <f t="shared" si="8"/>
        <v>5400</v>
      </c>
      <c r="N156" s="189">
        <v>9000</v>
      </c>
      <c r="O156" s="124"/>
      <c r="P156" s="154" t="s">
        <v>851</v>
      </c>
      <c r="Q156" s="154" t="s">
        <v>42</v>
      </c>
      <c r="R156" s="154"/>
      <c r="S156" s="154"/>
      <c r="T156" s="154"/>
      <c r="U156" s="154"/>
      <c r="V156" s="154"/>
      <c r="W156" s="128">
        <v>1</v>
      </c>
    </row>
    <row r="157" spans="1:23" s="129" customFormat="1" ht="16.5" thickBot="1" x14ac:dyDescent="0.3">
      <c r="A157" s="131" t="s">
        <v>852</v>
      </c>
      <c r="B157" s="123">
        <f t="shared" si="7"/>
        <v>24</v>
      </c>
      <c r="C157" s="124"/>
      <c r="D157" s="125" t="s">
        <v>853</v>
      </c>
      <c r="E157" s="124" t="s">
        <v>37</v>
      </c>
      <c r="F157" s="124"/>
      <c r="G157" s="124"/>
      <c r="H157" s="124"/>
      <c r="I157" s="124" t="s">
        <v>32</v>
      </c>
      <c r="J157" s="124"/>
      <c r="K157" s="124" t="s">
        <v>155</v>
      </c>
      <c r="L157" s="124"/>
      <c r="M157" s="149">
        <f t="shared" si="8"/>
        <v>5400</v>
      </c>
      <c r="N157" s="189">
        <v>9000</v>
      </c>
      <c r="O157" s="124"/>
      <c r="P157" s="154" t="s">
        <v>854</v>
      </c>
      <c r="Q157" s="154" t="s">
        <v>42</v>
      </c>
      <c r="R157" s="154"/>
      <c r="S157" s="154"/>
      <c r="T157" s="154"/>
      <c r="U157" s="154"/>
      <c r="V157" s="154"/>
      <c r="W157" s="128">
        <v>1</v>
      </c>
    </row>
    <row r="158" spans="1:23" s="129" customFormat="1" ht="15.75" x14ac:dyDescent="0.25">
      <c r="A158" s="131" t="s">
        <v>855</v>
      </c>
      <c r="B158" s="123">
        <f t="shared" si="7"/>
        <v>25</v>
      </c>
      <c r="C158" s="124"/>
      <c r="D158" s="125" t="s">
        <v>856</v>
      </c>
      <c r="E158" s="124" t="s">
        <v>37</v>
      </c>
      <c r="F158" s="124"/>
      <c r="G158" s="124"/>
      <c r="H158" s="124"/>
      <c r="I158" s="124" t="s">
        <v>32</v>
      </c>
      <c r="J158" s="124"/>
      <c r="K158" s="124" t="s">
        <v>857</v>
      </c>
      <c r="L158" s="124"/>
      <c r="M158" s="149">
        <f t="shared" si="8"/>
        <v>5400</v>
      </c>
      <c r="N158" s="189">
        <v>9000</v>
      </c>
      <c r="O158" s="124"/>
      <c r="P158" s="154" t="s">
        <v>858</v>
      </c>
      <c r="Q158" s="154" t="s">
        <v>42</v>
      </c>
      <c r="R158" s="154"/>
      <c r="S158" s="154"/>
      <c r="T158" s="154"/>
      <c r="U158" s="154"/>
      <c r="V158" s="154"/>
      <c r="W158" s="128">
        <v>1</v>
      </c>
    </row>
    <row r="159" spans="1:23" ht="15.75" thickBot="1" x14ac:dyDescent="0.3">
      <c r="A159" s="310" t="s">
        <v>39</v>
      </c>
      <c r="B159" s="311"/>
      <c r="C159" s="311"/>
      <c r="D159" s="311"/>
      <c r="E159" s="311"/>
      <c r="F159" s="311"/>
      <c r="G159" s="311"/>
      <c r="H159" s="311"/>
      <c r="I159" s="311"/>
      <c r="J159" s="311"/>
      <c r="K159" s="311"/>
      <c r="L159" s="311"/>
      <c r="M159" s="311"/>
      <c r="N159" s="311"/>
      <c r="O159" s="312"/>
      <c r="P159" s="146"/>
      <c r="Q159" s="146"/>
      <c r="R159" s="146"/>
      <c r="S159" s="146"/>
      <c r="T159" s="146"/>
      <c r="U159" s="146"/>
      <c r="V159" s="146"/>
      <c r="W159" s="114"/>
    </row>
    <row r="160" spans="1:23" s="129" customFormat="1" ht="30.75" thickBot="1" x14ac:dyDescent="0.3">
      <c r="A160" s="193" t="s">
        <v>859</v>
      </c>
      <c r="B160" s="193" t="s">
        <v>860</v>
      </c>
      <c r="C160" s="124"/>
      <c r="D160" s="125" t="s">
        <v>861</v>
      </c>
      <c r="E160" s="124" t="s">
        <v>862</v>
      </c>
      <c r="F160" s="124" t="s">
        <v>863</v>
      </c>
      <c r="G160" s="124" t="s">
        <v>864</v>
      </c>
      <c r="H160" s="124" t="s">
        <v>865</v>
      </c>
      <c r="I160" s="124" t="s">
        <v>67</v>
      </c>
      <c r="J160" s="124" t="s">
        <v>123</v>
      </c>
      <c r="K160" s="124" t="s">
        <v>764</v>
      </c>
      <c r="L160" s="124" t="s">
        <v>866</v>
      </c>
      <c r="M160" s="126">
        <v>29417.346000000001</v>
      </c>
      <c r="N160" s="126">
        <v>48095.025999999998</v>
      </c>
      <c r="O160" s="124"/>
      <c r="P160" s="127" t="s">
        <v>867</v>
      </c>
      <c r="Q160" s="127" t="s">
        <v>93</v>
      </c>
      <c r="R160" s="127">
        <f>M160*14</f>
        <v>411842.84400000004</v>
      </c>
      <c r="S160" s="127"/>
      <c r="T160" s="127"/>
      <c r="U160" s="127"/>
      <c r="V160" s="127"/>
      <c r="W160" s="128">
        <v>1</v>
      </c>
    </row>
    <row r="161" spans="1:24" s="129" customFormat="1" ht="45.75" thickBot="1" x14ac:dyDescent="0.3">
      <c r="A161" s="193" t="s">
        <v>868</v>
      </c>
      <c r="B161" s="193" t="s">
        <v>869</v>
      </c>
      <c r="C161" s="124"/>
      <c r="D161" s="125" t="s">
        <v>870</v>
      </c>
      <c r="E161" s="124" t="s">
        <v>87</v>
      </c>
      <c r="F161" s="124"/>
      <c r="G161" s="124" t="s">
        <v>871</v>
      </c>
      <c r="H161" s="124" t="s">
        <v>872</v>
      </c>
      <c r="I161" s="124" t="s">
        <v>873</v>
      </c>
      <c r="J161" s="124" t="s">
        <v>123</v>
      </c>
      <c r="K161" s="124" t="s">
        <v>217</v>
      </c>
      <c r="L161" s="124" t="s">
        <v>874</v>
      </c>
      <c r="M161" s="126">
        <v>14970.599999999997</v>
      </c>
      <c r="N161" s="126">
        <v>24950.999999999993</v>
      </c>
      <c r="O161" s="124"/>
      <c r="P161" s="194" t="s">
        <v>875</v>
      </c>
      <c r="Q161" s="194" t="s">
        <v>1127</v>
      </c>
      <c r="R161" s="194">
        <f>M161*11</f>
        <v>164676.59999999998</v>
      </c>
      <c r="S161" s="194"/>
      <c r="T161" s="194"/>
      <c r="U161" s="194"/>
      <c r="V161" s="194"/>
      <c r="W161" s="128">
        <v>1</v>
      </c>
    </row>
    <row r="162" spans="1:24" s="129" customFormat="1" ht="45.75" thickBot="1" x14ac:dyDescent="0.3">
      <c r="A162" s="193" t="s">
        <v>876</v>
      </c>
      <c r="B162" s="193" t="s">
        <v>877</v>
      </c>
      <c r="C162" s="124"/>
      <c r="D162" s="125" t="s">
        <v>878</v>
      </c>
      <c r="E162" s="124" t="s">
        <v>87</v>
      </c>
      <c r="F162" s="124"/>
      <c r="G162" s="124" t="s">
        <v>871</v>
      </c>
      <c r="H162" s="124" t="s">
        <v>879</v>
      </c>
      <c r="I162" s="124" t="s">
        <v>880</v>
      </c>
      <c r="J162" s="124" t="s">
        <v>123</v>
      </c>
      <c r="K162" s="124" t="s">
        <v>764</v>
      </c>
      <c r="L162" s="124" t="s">
        <v>881</v>
      </c>
      <c r="M162" s="126">
        <v>15329.456099999999</v>
      </c>
      <c r="N162" s="126">
        <v>25062.444100000001</v>
      </c>
      <c r="O162" s="124" t="s">
        <v>882</v>
      </c>
      <c r="P162" s="127" t="s">
        <v>883</v>
      </c>
      <c r="Q162" s="127" t="s">
        <v>1128</v>
      </c>
      <c r="R162" s="127">
        <f>M162*21</f>
        <v>321918.57809999998</v>
      </c>
      <c r="S162" s="127"/>
      <c r="T162" s="127"/>
      <c r="U162" s="127"/>
      <c r="V162" s="127"/>
      <c r="W162" s="128">
        <v>1</v>
      </c>
    </row>
    <row r="163" spans="1:24" s="129" customFormat="1" ht="30.75" thickBot="1" x14ac:dyDescent="0.3">
      <c r="A163" s="193" t="s">
        <v>884</v>
      </c>
      <c r="B163" s="193" t="s">
        <v>885</v>
      </c>
      <c r="C163" s="124"/>
      <c r="D163" s="125" t="s">
        <v>886</v>
      </c>
      <c r="E163" s="124" t="s">
        <v>887</v>
      </c>
      <c r="F163" s="124"/>
      <c r="G163" s="124" t="s">
        <v>871</v>
      </c>
      <c r="H163" s="124" t="s">
        <v>888</v>
      </c>
      <c r="I163" s="124" t="s">
        <v>263</v>
      </c>
      <c r="J163" s="124" t="s">
        <v>123</v>
      </c>
      <c r="K163" s="124" t="s">
        <v>155</v>
      </c>
      <c r="L163" s="124" t="s">
        <v>889</v>
      </c>
      <c r="M163" s="126">
        <v>10080</v>
      </c>
      <c r="N163" s="126">
        <v>16480</v>
      </c>
      <c r="O163" s="124"/>
      <c r="P163" s="127" t="s">
        <v>890</v>
      </c>
      <c r="Q163" s="127" t="s">
        <v>1091</v>
      </c>
      <c r="R163" s="127">
        <f>M163*3</f>
        <v>30240</v>
      </c>
      <c r="S163" s="127"/>
      <c r="T163" s="127"/>
      <c r="U163" s="127"/>
      <c r="V163" s="127"/>
      <c r="W163" s="128">
        <v>1</v>
      </c>
      <c r="X163" s="129">
        <f>3</f>
        <v>3</v>
      </c>
    </row>
    <row r="164" spans="1:24" ht="30.75" thickBot="1" x14ac:dyDescent="0.3">
      <c r="A164" s="193" t="s">
        <v>891</v>
      </c>
      <c r="B164" s="193" t="s">
        <v>892</v>
      </c>
      <c r="C164" s="86"/>
      <c r="D164" s="92" t="s">
        <v>86</v>
      </c>
      <c r="E164" s="86" t="s">
        <v>87</v>
      </c>
      <c r="F164" s="86"/>
      <c r="G164" s="86" t="s">
        <v>871</v>
      </c>
      <c r="H164" s="86" t="s">
        <v>893</v>
      </c>
      <c r="I164" s="86" t="s">
        <v>88</v>
      </c>
      <c r="J164" s="86" t="s">
        <v>123</v>
      </c>
      <c r="K164" s="86" t="s">
        <v>257</v>
      </c>
      <c r="L164" s="86" t="s">
        <v>894</v>
      </c>
      <c r="M164" s="121">
        <v>14143.5</v>
      </c>
      <c r="N164" s="121">
        <v>23123.5</v>
      </c>
      <c r="O164" s="86"/>
      <c r="P164" s="146" t="s">
        <v>895</v>
      </c>
      <c r="Q164" s="45" t="s">
        <v>99</v>
      </c>
      <c r="R164" s="146">
        <f>M164*4</f>
        <v>56574</v>
      </c>
      <c r="S164" s="146"/>
      <c r="T164" s="146"/>
      <c r="U164" s="146"/>
      <c r="V164" s="146"/>
      <c r="W164" s="114"/>
      <c r="X164" s="97">
        <f>9</f>
        <v>9</v>
      </c>
    </row>
    <row r="165" spans="1:24" s="129" customFormat="1" ht="60.75" thickBot="1" x14ac:dyDescent="0.3">
      <c r="A165" s="193" t="s">
        <v>896</v>
      </c>
      <c r="B165" s="193" t="s">
        <v>897</v>
      </c>
      <c r="C165" s="124"/>
      <c r="D165" s="125" t="s">
        <v>898</v>
      </c>
      <c r="E165" s="124" t="s">
        <v>899</v>
      </c>
      <c r="F165" s="124"/>
      <c r="G165" s="124" t="s">
        <v>871</v>
      </c>
      <c r="H165" s="124" t="s">
        <v>900</v>
      </c>
      <c r="I165" s="124" t="s">
        <v>901</v>
      </c>
      <c r="J165" s="124" t="s">
        <v>123</v>
      </c>
      <c r="K165" s="124" t="s">
        <v>201</v>
      </c>
      <c r="L165" s="124" t="s">
        <v>902</v>
      </c>
      <c r="M165" s="126">
        <v>12600</v>
      </c>
      <c r="N165" s="126">
        <v>20600</v>
      </c>
      <c r="O165" s="124"/>
      <c r="P165" s="127" t="s">
        <v>903</v>
      </c>
      <c r="Q165" s="127" t="s">
        <v>1093</v>
      </c>
      <c r="R165" s="127">
        <f>M165*3</f>
        <v>37800</v>
      </c>
      <c r="S165" s="127"/>
      <c r="T165" s="127"/>
      <c r="U165" s="127"/>
      <c r="V165" s="127"/>
      <c r="W165" s="128">
        <v>1</v>
      </c>
    </row>
    <row r="166" spans="1:24" s="129" customFormat="1" ht="45.75" thickBot="1" x14ac:dyDescent="0.3">
      <c r="A166" s="193" t="s">
        <v>904</v>
      </c>
      <c r="B166" s="193" t="s">
        <v>905</v>
      </c>
      <c r="C166" s="124"/>
      <c r="D166" s="125" t="s">
        <v>906</v>
      </c>
      <c r="E166" s="124" t="s">
        <v>907</v>
      </c>
      <c r="F166" s="124"/>
      <c r="G166" s="124" t="s">
        <v>871</v>
      </c>
      <c r="H166" s="124" t="s">
        <v>908</v>
      </c>
      <c r="I166" s="124" t="s">
        <v>873</v>
      </c>
      <c r="J166" s="124" t="s">
        <v>123</v>
      </c>
      <c r="K166" s="124" t="s">
        <v>201</v>
      </c>
      <c r="L166" s="124" t="s">
        <v>909</v>
      </c>
      <c r="M166" s="126">
        <f t="shared" ref="M166:M184" si="9">N166*60%</f>
        <v>12849</v>
      </c>
      <c r="N166" s="126">
        <v>21415</v>
      </c>
      <c r="O166" s="124"/>
      <c r="P166" s="127" t="s">
        <v>910</v>
      </c>
      <c r="Q166" s="127" t="s">
        <v>1127</v>
      </c>
      <c r="R166" s="127">
        <f>M166*11</f>
        <v>141339</v>
      </c>
      <c r="S166" s="127"/>
      <c r="T166" s="127"/>
      <c r="U166" s="127"/>
      <c r="V166" s="127"/>
      <c r="W166" s="128">
        <v>1</v>
      </c>
      <c r="X166" s="129">
        <f>2</f>
        <v>2</v>
      </c>
    </row>
    <row r="167" spans="1:24" s="129" customFormat="1" ht="15.75" thickBot="1" x14ac:dyDescent="0.3">
      <c r="A167" s="193" t="s">
        <v>911</v>
      </c>
      <c r="B167" s="193" t="s">
        <v>912</v>
      </c>
      <c r="C167" s="124"/>
      <c r="D167" s="125" t="s">
        <v>913</v>
      </c>
      <c r="E167" s="124" t="s">
        <v>914</v>
      </c>
      <c r="F167" s="124"/>
      <c r="G167" s="124"/>
      <c r="H167" s="124" t="s">
        <v>915</v>
      </c>
      <c r="I167" s="124" t="s">
        <v>916</v>
      </c>
      <c r="J167" s="124" t="s">
        <v>123</v>
      </c>
      <c r="K167" s="124" t="s">
        <v>917</v>
      </c>
      <c r="L167" s="124" t="s">
        <v>578</v>
      </c>
      <c r="M167" s="126">
        <v>9676.9133999999995</v>
      </c>
      <c r="N167" s="126">
        <v>15820.9854</v>
      </c>
      <c r="O167" s="124"/>
      <c r="P167" s="127" t="s">
        <v>918</v>
      </c>
      <c r="Q167" s="127" t="s">
        <v>1129</v>
      </c>
      <c r="R167" s="127">
        <f>M167*11</f>
        <v>106446.0474</v>
      </c>
      <c r="S167" s="127"/>
      <c r="T167" s="127"/>
      <c r="U167" s="127"/>
      <c r="V167" s="127"/>
      <c r="W167" s="128">
        <v>1</v>
      </c>
    </row>
    <row r="168" spans="1:24" s="129" customFormat="1" ht="15.75" thickBot="1" x14ac:dyDescent="0.3">
      <c r="A168" s="193" t="s">
        <v>919</v>
      </c>
      <c r="B168" s="193" t="s">
        <v>920</v>
      </c>
      <c r="C168" s="124"/>
      <c r="D168" s="125" t="s">
        <v>921</v>
      </c>
      <c r="E168" s="124" t="s">
        <v>914</v>
      </c>
      <c r="F168" s="124"/>
      <c r="G168" s="124"/>
      <c r="H168" s="124" t="s">
        <v>922</v>
      </c>
      <c r="I168" s="124" t="s">
        <v>923</v>
      </c>
      <c r="J168" s="124" t="s">
        <v>123</v>
      </c>
      <c r="K168" s="124" t="s">
        <v>201</v>
      </c>
      <c r="L168" s="124" t="s">
        <v>578</v>
      </c>
      <c r="M168" s="126">
        <v>9353.3516999999993</v>
      </c>
      <c r="N168" s="126">
        <v>15291.987699999998</v>
      </c>
      <c r="O168" s="124"/>
      <c r="P168" s="127" t="s">
        <v>924</v>
      </c>
      <c r="Q168" s="127" t="s">
        <v>1117</v>
      </c>
      <c r="R168" s="127">
        <f>M168*10</f>
        <v>93533.516999999993</v>
      </c>
      <c r="S168" s="127"/>
      <c r="T168" s="127"/>
      <c r="U168" s="127"/>
      <c r="V168" s="127"/>
      <c r="W168" s="128">
        <v>1</v>
      </c>
    </row>
    <row r="169" spans="1:24" s="129" customFormat="1" ht="30.75" thickBot="1" x14ac:dyDescent="0.3">
      <c r="A169" s="193" t="s">
        <v>925</v>
      </c>
      <c r="B169" s="193" t="s">
        <v>40</v>
      </c>
      <c r="C169" s="124"/>
      <c r="D169" s="125" t="s">
        <v>926</v>
      </c>
      <c r="E169" s="124" t="s">
        <v>914</v>
      </c>
      <c r="F169" s="124"/>
      <c r="G169" s="124"/>
      <c r="H169" s="124" t="s">
        <v>927</v>
      </c>
      <c r="I169" s="124" t="s">
        <v>263</v>
      </c>
      <c r="J169" s="124" t="s">
        <v>123</v>
      </c>
      <c r="K169" s="124" t="s">
        <v>201</v>
      </c>
      <c r="L169" s="124" t="s">
        <v>928</v>
      </c>
      <c r="M169" s="126">
        <v>6473.25</v>
      </c>
      <c r="N169" s="126">
        <v>10583.25</v>
      </c>
      <c r="O169" s="124"/>
      <c r="P169" s="127" t="s">
        <v>929</v>
      </c>
      <c r="Q169" s="127" t="s">
        <v>1091</v>
      </c>
      <c r="R169" s="127">
        <f>M169*3</f>
        <v>19419.75</v>
      </c>
      <c r="S169" s="127"/>
      <c r="T169" s="127"/>
      <c r="U169" s="127"/>
      <c r="V169" s="127"/>
      <c r="W169" s="128">
        <v>1</v>
      </c>
    </row>
    <row r="170" spans="1:24" s="129" customFormat="1" ht="15.75" thickBot="1" x14ac:dyDescent="0.3">
      <c r="A170" s="193" t="s">
        <v>930</v>
      </c>
      <c r="B170" s="193" t="s">
        <v>43</v>
      </c>
      <c r="C170" s="124"/>
      <c r="D170" s="125" t="s">
        <v>931</v>
      </c>
      <c r="E170" s="124" t="s">
        <v>914</v>
      </c>
      <c r="F170" s="124"/>
      <c r="G170" s="124"/>
      <c r="H170" s="124" t="s">
        <v>932</v>
      </c>
      <c r="I170" s="124" t="s">
        <v>933</v>
      </c>
      <c r="J170" s="124" t="s">
        <v>123</v>
      </c>
      <c r="K170" s="124" t="s">
        <v>201</v>
      </c>
      <c r="L170" s="124" t="s">
        <v>578</v>
      </c>
      <c r="M170" s="126">
        <v>11090.834999999997</v>
      </c>
      <c r="N170" s="126">
        <v>18132.634999999995</v>
      </c>
      <c r="O170" s="124"/>
      <c r="P170" s="127" t="s">
        <v>934</v>
      </c>
      <c r="Q170" s="127" t="s">
        <v>1130</v>
      </c>
      <c r="R170" s="127">
        <f>M170*14</f>
        <v>155271.68999999997</v>
      </c>
      <c r="S170" s="127"/>
      <c r="T170" s="127"/>
      <c r="U170" s="127"/>
      <c r="V170" s="127"/>
      <c r="W170" s="128">
        <v>1</v>
      </c>
    </row>
    <row r="171" spans="1:24" s="129" customFormat="1" ht="30.75" thickBot="1" x14ac:dyDescent="0.3">
      <c r="A171" s="193" t="s">
        <v>935</v>
      </c>
      <c r="B171" s="193" t="s">
        <v>44</v>
      </c>
      <c r="C171" s="124"/>
      <c r="D171" s="125" t="s">
        <v>936</v>
      </c>
      <c r="E171" s="124" t="s">
        <v>623</v>
      </c>
      <c r="F171" s="124" t="s">
        <v>213</v>
      </c>
      <c r="G171" s="124" t="s">
        <v>937</v>
      </c>
      <c r="H171" s="124" t="s">
        <v>938</v>
      </c>
      <c r="I171" s="124" t="s">
        <v>939</v>
      </c>
      <c r="J171" s="124" t="s">
        <v>483</v>
      </c>
      <c r="K171" s="124" t="s">
        <v>201</v>
      </c>
      <c r="L171" s="124" t="s">
        <v>940</v>
      </c>
      <c r="M171" s="126">
        <f t="shared" ref="M171" si="10">N171*60%</f>
        <v>5400</v>
      </c>
      <c r="N171" s="126">
        <v>9000</v>
      </c>
      <c r="O171" s="124"/>
      <c r="P171" s="195"/>
      <c r="Q171" s="195" t="s">
        <v>1131</v>
      </c>
      <c r="R171" s="195"/>
      <c r="S171" s="195"/>
      <c r="T171" s="195"/>
      <c r="U171" s="195"/>
      <c r="V171" s="195"/>
      <c r="W171" s="165">
        <v>1</v>
      </c>
    </row>
    <row r="172" spans="1:24" s="129" customFormat="1" ht="30.75" thickBot="1" x14ac:dyDescent="0.3">
      <c r="A172" s="193" t="s">
        <v>941</v>
      </c>
      <c r="B172" s="193" t="s">
        <v>197</v>
      </c>
      <c r="C172" s="124"/>
      <c r="D172" s="125" t="s">
        <v>942</v>
      </c>
      <c r="E172" s="124" t="s">
        <v>623</v>
      </c>
      <c r="F172" s="124" t="s">
        <v>380</v>
      </c>
      <c r="G172" s="124" t="s">
        <v>937</v>
      </c>
      <c r="H172" s="124" t="s">
        <v>943</v>
      </c>
      <c r="I172" s="124" t="s">
        <v>263</v>
      </c>
      <c r="J172" s="124" t="s">
        <v>123</v>
      </c>
      <c r="K172" s="124" t="s">
        <v>201</v>
      </c>
      <c r="L172" s="124" t="s">
        <v>578</v>
      </c>
      <c r="M172" s="126">
        <v>5670</v>
      </c>
      <c r="N172" s="126">
        <v>9270</v>
      </c>
      <c r="O172" s="124"/>
      <c r="P172" s="127" t="s">
        <v>944</v>
      </c>
      <c r="Q172" s="127" t="s">
        <v>1091</v>
      </c>
      <c r="R172" s="127">
        <f>M172*3</f>
        <v>17010</v>
      </c>
      <c r="S172" s="127"/>
      <c r="T172" s="127"/>
      <c r="U172" s="127"/>
      <c r="V172" s="127"/>
      <c r="W172" s="128">
        <v>1</v>
      </c>
    </row>
    <row r="173" spans="1:24" s="129" customFormat="1" ht="30.75" thickBot="1" x14ac:dyDescent="0.3">
      <c r="A173" s="193" t="s">
        <v>945</v>
      </c>
      <c r="B173" s="193" t="s">
        <v>204</v>
      </c>
      <c r="C173" s="124"/>
      <c r="D173" s="125" t="s">
        <v>946</v>
      </c>
      <c r="E173" s="124" t="s">
        <v>623</v>
      </c>
      <c r="F173" s="124" t="s">
        <v>380</v>
      </c>
      <c r="G173" s="124" t="s">
        <v>937</v>
      </c>
      <c r="H173" s="124" t="s">
        <v>947</v>
      </c>
      <c r="I173" s="124" t="s">
        <v>948</v>
      </c>
      <c r="J173" s="124" t="s">
        <v>123</v>
      </c>
      <c r="K173" s="124" t="s">
        <v>155</v>
      </c>
      <c r="L173" s="124" t="s">
        <v>578</v>
      </c>
      <c r="M173" s="126">
        <f>N173*60%</f>
        <v>5400</v>
      </c>
      <c r="N173" s="126">
        <v>9000</v>
      </c>
      <c r="O173" s="124"/>
      <c r="P173" s="194" t="s">
        <v>949</v>
      </c>
      <c r="Q173" s="194" t="s">
        <v>1132</v>
      </c>
      <c r="R173" s="194">
        <f>M173*3</f>
        <v>16200</v>
      </c>
      <c r="S173" s="194"/>
      <c r="T173" s="194"/>
      <c r="U173" s="194"/>
      <c r="V173" s="194"/>
      <c r="W173" s="128">
        <v>1</v>
      </c>
    </row>
    <row r="174" spans="1:24" s="129" customFormat="1" ht="30.75" thickBot="1" x14ac:dyDescent="0.3">
      <c r="A174" s="193" t="s">
        <v>950</v>
      </c>
      <c r="B174" s="193" t="s">
        <v>211</v>
      </c>
      <c r="C174" s="124"/>
      <c r="D174" s="125" t="s">
        <v>951</v>
      </c>
      <c r="E174" s="124" t="s">
        <v>34</v>
      </c>
      <c r="F174" s="124" t="s">
        <v>213</v>
      </c>
      <c r="G174" s="124" t="s">
        <v>952</v>
      </c>
      <c r="H174" s="124" t="s">
        <v>953</v>
      </c>
      <c r="I174" s="124" t="s">
        <v>954</v>
      </c>
      <c r="J174" s="124" t="s">
        <v>123</v>
      </c>
      <c r="K174" s="124" t="s">
        <v>434</v>
      </c>
      <c r="L174" s="124" t="s">
        <v>955</v>
      </c>
      <c r="M174" s="126">
        <v>11238.343199999999</v>
      </c>
      <c r="N174" s="126">
        <v>18373.799200000001</v>
      </c>
      <c r="O174" s="124"/>
      <c r="P174" s="127" t="s">
        <v>956</v>
      </c>
      <c r="Q174" s="127" t="s">
        <v>1133</v>
      </c>
      <c r="R174" s="127">
        <f>M174*17</f>
        <v>191051.83439999999</v>
      </c>
      <c r="S174" s="127"/>
      <c r="T174" s="127"/>
      <c r="U174" s="127"/>
      <c r="V174" s="127"/>
      <c r="W174" s="128">
        <v>1</v>
      </c>
    </row>
    <row r="175" spans="1:24" s="129" customFormat="1" ht="30.75" thickBot="1" x14ac:dyDescent="0.3">
      <c r="A175" s="193" t="s">
        <v>957</v>
      </c>
      <c r="B175" s="193" t="s">
        <v>221</v>
      </c>
      <c r="C175" s="124"/>
      <c r="D175" s="125" t="s">
        <v>958</v>
      </c>
      <c r="E175" s="124" t="s">
        <v>34</v>
      </c>
      <c r="F175" s="124" t="s">
        <v>213</v>
      </c>
      <c r="G175" s="124" t="s">
        <v>952</v>
      </c>
      <c r="H175" s="124" t="s">
        <v>959</v>
      </c>
      <c r="I175" s="124" t="s">
        <v>67</v>
      </c>
      <c r="J175" s="124" t="s">
        <v>123</v>
      </c>
      <c r="K175" s="124" t="s">
        <v>434</v>
      </c>
      <c r="L175" s="124" t="s">
        <v>578</v>
      </c>
      <c r="M175" s="126">
        <v>10647.5985</v>
      </c>
      <c r="N175" s="126">
        <v>17407.978500000001</v>
      </c>
      <c r="O175" s="124"/>
      <c r="P175" s="127" t="s">
        <v>960</v>
      </c>
      <c r="Q175" s="127" t="s">
        <v>93</v>
      </c>
      <c r="R175" s="127">
        <f>M175*14</f>
        <v>149066.37900000002</v>
      </c>
      <c r="S175" s="127"/>
      <c r="T175" s="127"/>
      <c r="U175" s="127"/>
      <c r="V175" s="127"/>
      <c r="W175" s="128">
        <v>1</v>
      </c>
    </row>
    <row r="176" spans="1:24" s="129" customFormat="1" ht="30.75" thickBot="1" x14ac:dyDescent="0.3">
      <c r="A176" s="193" t="s">
        <v>961</v>
      </c>
      <c r="B176" s="193" t="s">
        <v>227</v>
      </c>
      <c r="C176" s="124"/>
      <c r="D176" s="125" t="s">
        <v>962</v>
      </c>
      <c r="E176" s="124" t="s">
        <v>34</v>
      </c>
      <c r="F176" s="124" t="s">
        <v>213</v>
      </c>
      <c r="G176" s="124" t="s">
        <v>952</v>
      </c>
      <c r="H176" s="124" t="s">
        <v>963</v>
      </c>
      <c r="I176" s="124" t="s">
        <v>964</v>
      </c>
      <c r="J176" s="124" t="s">
        <v>123</v>
      </c>
      <c r="K176" s="124" t="s">
        <v>141</v>
      </c>
      <c r="L176" s="124" t="s">
        <v>965</v>
      </c>
      <c r="M176" s="126">
        <v>10000.4751</v>
      </c>
      <c r="N176" s="126">
        <v>16349.983100000001</v>
      </c>
      <c r="O176" s="124"/>
      <c r="P176" s="127" t="s">
        <v>966</v>
      </c>
      <c r="Q176" s="127" t="s">
        <v>1134</v>
      </c>
      <c r="R176" s="127">
        <f>M176*12</f>
        <v>120005.7012</v>
      </c>
      <c r="S176" s="127"/>
      <c r="T176" s="127"/>
      <c r="U176" s="127"/>
      <c r="V176" s="127"/>
      <c r="W176" s="128">
        <v>1</v>
      </c>
    </row>
    <row r="177" spans="1:23" s="129" customFormat="1" ht="30.75" thickBot="1" x14ac:dyDescent="0.3">
      <c r="A177" s="193" t="s">
        <v>967</v>
      </c>
      <c r="B177" s="193" t="s">
        <v>231</v>
      </c>
      <c r="C177" s="124"/>
      <c r="D177" s="125" t="s">
        <v>968</v>
      </c>
      <c r="E177" s="124" t="s">
        <v>34</v>
      </c>
      <c r="F177" s="124" t="s">
        <v>213</v>
      </c>
      <c r="G177" s="124" t="s">
        <v>952</v>
      </c>
      <c r="H177" s="124" t="s">
        <v>969</v>
      </c>
      <c r="I177" s="124" t="s">
        <v>970</v>
      </c>
      <c r="J177" s="124" t="s">
        <v>123</v>
      </c>
      <c r="K177" s="124" t="s">
        <v>141</v>
      </c>
      <c r="L177" s="124" t="s">
        <v>971</v>
      </c>
      <c r="M177" s="126">
        <v>9676.9133999999995</v>
      </c>
      <c r="N177" s="126">
        <v>15820.9854</v>
      </c>
      <c r="O177" s="124"/>
      <c r="P177" s="127" t="s">
        <v>972</v>
      </c>
      <c r="Q177" s="127" t="s">
        <v>1135</v>
      </c>
      <c r="R177" s="127">
        <f>M177*11</f>
        <v>106446.0474</v>
      </c>
      <c r="S177" s="127"/>
      <c r="T177" s="127"/>
      <c r="U177" s="127"/>
      <c r="V177" s="127"/>
      <c r="W177" s="128">
        <v>1</v>
      </c>
    </row>
    <row r="178" spans="1:23" s="129" customFormat="1" ht="30.75" thickBot="1" x14ac:dyDescent="0.3">
      <c r="A178" s="193" t="s">
        <v>973</v>
      </c>
      <c r="B178" s="193" t="s">
        <v>235</v>
      </c>
      <c r="C178" s="124"/>
      <c r="D178" s="125" t="s">
        <v>974</v>
      </c>
      <c r="E178" s="124" t="s">
        <v>34</v>
      </c>
      <c r="F178" s="124" t="s">
        <v>213</v>
      </c>
      <c r="G178" s="124" t="s">
        <v>952</v>
      </c>
      <c r="H178" s="124" t="s">
        <v>975</v>
      </c>
      <c r="I178" s="124" t="s">
        <v>122</v>
      </c>
      <c r="J178" s="124" t="s">
        <v>123</v>
      </c>
      <c r="K178" s="124" t="s">
        <v>155</v>
      </c>
      <c r="L178" s="124" t="s">
        <v>976</v>
      </c>
      <c r="M178" s="126">
        <v>8848.35</v>
      </c>
      <c r="N178" s="126">
        <v>14466.35</v>
      </c>
      <c r="O178" s="124"/>
      <c r="P178" s="127" t="s">
        <v>977</v>
      </c>
      <c r="Q178" s="127" t="s">
        <v>1078</v>
      </c>
      <c r="R178" s="127">
        <f>M178*9</f>
        <v>79635.150000000009</v>
      </c>
      <c r="S178" s="127"/>
      <c r="T178" s="127"/>
      <c r="U178" s="127"/>
      <c r="V178" s="127"/>
      <c r="W178" s="128">
        <v>1</v>
      </c>
    </row>
    <row r="179" spans="1:23" s="129" customFormat="1" ht="30.75" thickBot="1" x14ac:dyDescent="0.3">
      <c r="A179" s="193" t="s">
        <v>978</v>
      </c>
      <c r="B179" s="193" t="s">
        <v>241</v>
      </c>
      <c r="C179" s="124"/>
      <c r="D179" s="125" t="s">
        <v>979</v>
      </c>
      <c r="E179" s="124" t="s">
        <v>34</v>
      </c>
      <c r="F179" s="124" t="s">
        <v>213</v>
      </c>
      <c r="G179" s="124" t="s">
        <v>952</v>
      </c>
      <c r="H179" s="124" t="s">
        <v>980</v>
      </c>
      <c r="I179" s="124" t="s">
        <v>981</v>
      </c>
      <c r="J179" s="124" t="s">
        <v>123</v>
      </c>
      <c r="K179" s="124" t="s">
        <v>141</v>
      </c>
      <c r="L179" s="124" t="s">
        <v>578</v>
      </c>
      <c r="M179" s="126">
        <v>5925.15</v>
      </c>
      <c r="N179" s="126">
        <v>9687.15</v>
      </c>
      <c r="O179" s="124"/>
      <c r="P179" s="127" t="s">
        <v>982</v>
      </c>
      <c r="Q179" s="127" t="s">
        <v>1115</v>
      </c>
      <c r="R179" s="127">
        <f>M179*3</f>
        <v>17775.449999999997</v>
      </c>
      <c r="S179" s="127"/>
      <c r="T179" s="127"/>
      <c r="U179" s="127"/>
      <c r="V179" s="127"/>
      <c r="W179" s="128">
        <v>1</v>
      </c>
    </row>
    <row r="180" spans="1:23" s="129" customFormat="1" ht="30.75" thickBot="1" x14ac:dyDescent="0.3">
      <c r="A180" s="193" t="s">
        <v>983</v>
      </c>
      <c r="B180" s="193" t="s">
        <v>247</v>
      </c>
      <c r="C180" s="124"/>
      <c r="D180" s="125" t="s">
        <v>984</v>
      </c>
      <c r="E180" s="124" t="s">
        <v>34</v>
      </c>
      <c r="F180" s="124" t="s">
        <v>213</v>
      </c>
      <c r="G180" s="124" t="s">
        <v>952</v>
      </c>
      <c r="H180" s="124" t="s">
        <v>216</v>
      </c>
      <c r="I180" s="124" t="s">
        <v>981</v>
      </c>
      <c r="J180" s="124" t="s">
        <v>123</v>
      </c>
      <c r="K180" s="124" t="s">
        <v>141</v>
      </c>
      <c r="L180" s="124" t="s">
        <v>578</v>
      </c>
      <c r="M180" s="126">
        <v>5925.15</v>
      </c>
      <c r="N180" s="126">
        <v>9687.15</v>
      </c>
      <c r="O180" s="124"/>
      <c r="P180" s="127" t="s">
        <v>985</v>
      </c>
      <c r="Q180" s="127" t="s">
        <v>1115</v>
      </c>
      <c r="R180" s="127">
        <f>M180*3</f>
        <v>17775.449999999997</v>
      </c>
      <c r="S180" s="127"/>
      <c r="T180" s="127"/>
      <c r="U180" s="127"/>
      <c r="V180" s="127"/>
      <c r="W180" s="128">
        <v>1</v>
      </c>
    </row>
    <row r="181" spans="1:23" s="129" customFormat="1" ht="30.75" thickBot="1" x14ac:dyDescent="0.3">
      <c r="A181" s="193" t="s">
        <v>986</v>
      </c>
      <c r="B181" s="193" t="s">
        <v>253</v>
      </c>
      <c r="C181" s="124"/>
      <c r="D181" s="125" t="s">
        <v>987</v>
      </c>
      <c r="E181" s="124" t="s">
        <v>34</v>
      </c>
      <c r="F181" s="124" t="s">
        <v>213</v>
      </c>
      <c r="G181" s="124" t="s">
        <v>952</v>
      </c>
      <c r="H181" s="124" t="s">
        <v>988</v>
      </c>
      <c r="I181" s="124" t="s">
        <v>263</v>
      </c>
      <c r="J181" s="124" t="s">
        <v>123</v>
      </c>
      <c r="K181" s="124" t="s">
        <v>989</v>
      </c>
      <c r="L181" s="124" t="s">
        <v>990</v>
      </c>
      <c r="M181" s="126">
        <v>5670</v>
      </c>
      <c r="N181" s="126">
        <v>9270</v>
      </c>
      <c r="O181" s="124"/>
      <c r="P181" s="127" t="s">
        <v>991</v>
      </c>
      <c r="Q181" s="127" t="s">
        <v>1091</v>
      </c>
      <c r="R181" s="127">
        <f>M181*3</f>
        <v>17010</v>
      </c>
      <c r="S181" s="127"/>
      <c r="T181" s="127"/>
      <c r="U181" s="127"/>
      <c r="V181" s="127"/>
      <c r="W181" s="128">
        <v>1</v>
      </c>
    </row>
    <row r="182" spans="1:23" s="129" customFormat="1" ht="30.75" thickBot="1" x14ac:dyDescent="0.3">
      <c r="A182" s="193" t="s">
        <v>992</v>
      </c>
      <c r="B182" s="193" t="s">
        <v>260</v>
      </c>
      <c r="C182" s="124"/>
      <c r="D182" s="125" t="s">
        <v>993</v>
      </c>
      <c r="E182" s="124" t="s">
        <v>34</v>
      </c>
      <c r="F182" s="124" t="s">
        <v>213</v>
      </c>
      <c r="G182" s="124" t="s">
        <v>952</v>
      </c>
      <c r="H182" s="124" t="s">
        <v>994</v>
      </c>
      <c r="I182" s="124" t="s">
        <v>263</v>
      </c>
      <c r="J182" s="124" t="s">
        <v>123</v>
      </c>
      <c r="K182" s="124" t="s">
        <v>141</v>
      </c>
      <c r="L182" s="124" t="s">
        <v>995</v>
      </c>
      <c r="M182" s="126">
        <v>5670</v>
      </c>
      <c r="N182" s="126">
        <v>9270</v>
      </c>
      <c r="O182" s="124"/>
      <c r="P182" s="127" t="s">
        <v>996</v>
      </c>
      <c r="Q182" s="127" t="s">
        <v>1091</v>
      </c>
      <c r="R182" s="127">
        <f>M182*3</f>
        <v>17010</v>
      </c>
      <c r="S182" s="127"/>
      <c r="T182" s="127"/>
      <c r="U182" s="127"/>
      <c r="V182" s="127"/>
      <c r="W182" s="128">
        <v>1</v>
      </c>
    </row>
    <row r="183" spans="1:23" s="129" customFormat="1" ht="30.75" thickBot="1" x14ac:dyDescent="0.3">
      <c r="A183" s="193" t="s">
        <v>997</v>
      </c>
      <c r="B183" s="193" t="s">
        <v>267</v>
      </c>
      <c r="C183" s="124"/>
      <c r="D183" s="125" t="s">
        <v>998</v>
      </c>
      <c r="E183" s="124" t="s">
        <v>34</v>
      </c>
      <c r="F183" s="124" t="s">
        <v>213</v>
      </c>
      <c r="G183" s="124" t="s">
        <v>952</v>
      </c>
      <c r="H183" s="124" t="s">
        <v>999</v>
      </c>
      <c r="I183" s="124" t="s">
        <v>263</v>
      </c>
      <c r="J183" s="124" t="s">
        <v>123</v>
      </c>
      <c r="K183" s="124" t="s">
        <v>155</v>
      </c>
      <c r="L183" s="124" t="s">
        <v>578</v>
      </c>
      <c r="M183" s="126">
        <v>5670</v>
      </c>
      <c r="N183" s="126">
        <v>9270</v>
      </c>
      <c r="O183" s="124"/>
      <c r="P183" s="127" t="s">
        <v>1000</v>
      </c>
      <c r="Q183" s="127" t="s">
        <v>1091</v>
      </c>
      <c r="R183" s="127">
        <f>M183*3</f>
        <v>17010</v>
      </c>
      <c r="S183" s="127"/>
      <c r="T183" s="127"/>
      <c r="U183" s="127"/>
      <c r="V183" s="127"/>
      <c r="W183" s="128">
        <v>1</v>
      </c>
    </row>
    <row r="184" spans="1:23" s="129" customFormat="1" ht="30.75" thickBot="1" x14ac:dyDescent="0.3">
      <c r="A184" s="193" t="s">
        <v>1001</v>
      </c>
      <c r="B184" s="193" t="s">
        <v>274</v>
      </c>
      <c r="C184" s="124"/>
      <c r="D184" s="125" t="s">
        <v>1002</v>
      </c>
      <c r="E184" s="124" t="s">
        <v>1003</v>
      </c>
      <c r="F184" s="124" t="s">
        <v>213</v>
      </c>
      <c r="G184" s="124" t="s">
        <v>952</v>
      </c>
      <c r="H184" s="124" t="s">
        <v>1004</v>
      </c>
      <c r="I184" s="124" t="s">
        <v>1005</v>
      </c>
      <c r="J184" s="124" t="s">
        <v>483</v>
      </c>
      <c r="K184" s="124" t="s">
        <v>141</v>
      </c>
      <c r="L184" s="124" t="s">
        <v>1006</v>
      </c>
      <c r="M184" s="126">
        <f t="shared" si="9"/>
        <v>6000</v>
      </c>
      <c r="N184" s="126">
        <v>10000</v>
      </c>
      <c r="O184" s="124"/>
      <c r="P184" s="196" t="s">
        <v>1007</v>
      </c>
      <c r="Q184" s="197" t="s">
        <v>1125</v>
      </c>
      <c r="R184" s="197"/>
      <c r="S184" s="197"/>
      <c r="T184" s="197"/>
      <c r="U184" s="197"/>
      <c r="V184" s="197"/>
      <c r="W184" s="165">
        <v>1</v>
      </c>
    </row>
    <row r="185" spans="1:23" s="129" customFormat="1" ht="30" x14ac:dyDescent="0.25">
      <c r="A185" s="193" t="s">
        <v>1008</v>
      </c>
      <c r="B185" s="193" t="s">
        <v>280</v>
      </c>
      <c r="C185" s="124"/>
      <c r="D185" s="125" t="s">
        <v>1009</v>
      </c>
      <c r="E185" s="124" t="s">
        <v>1003</v>
      </c>
      <c r="F185" s="124" t="s">
        <v>213</v>
      </c>
      <c r="G185" s="124" t="s">
        <v>952</v>
      </c>
      <c r="H185" s="124" t="s">
        <v>1010</v>
      </c>
      <c r="I185" s="124" t="s">
        <v>1011</v>
      </c>
      <c r="J185" s="124" t="s">
        <v>483</v>
      </c>
      <c r="K185" s="124" t="s">
        <v>141</v>
      </c>
      <c r="L185" s="124" t="s">
        <v>1012</v>
      </c>
      <c r="M185" s="126">
        <f>N185*60%</f>
        <v>5400</v>
      </c>
      <c r="N185" s="126">
        <v>9000</v>
      </c>
      <c r="O185" s="124"/>
      <c r="P185" s="195" t="s">
        <v>1013</v>
      </c>
      <c r="Q185" s="195" t="s">
        <v>1136</v>
      </c>
      <c r="R185" s="195"/>
      <c r="S185" s="195"/>
      <c r="T185" s="195"/>
      <c r="U185" s="195"/>
      <c r="V185" s="195"/>
      <c r="W185" s="165">
        <v>1</v>
      </c>
    </row>
    <row r="186" spans="1:23" x14ac:dyDescent="0.25">
      <c r="A186" s="180"/>
      <c r="B186" s="198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3"/>
      <c r="N186" s="183"/>
      <c r="O186" s="184"/>
      <c r="P186" s="199"/>
      <c r="Q186" s="199"/>
      <c r="R186" s="199"/>
      <c r="S186" s="199"/>
      <c r="T186" s="199"/>
      <c r="U186" s="199"/>
      <c r="V186" s="199"/>
      <c r="W186" s="200"/>
    </row>
    <row r="187" spans="1:23" s="144" customFormat="1" ht="15.75" thickBot="1" x14ac:dyDescent="0.3">
      <c r="A187" s="310" t="s">
        <v>45</v>
      </c>
      <c r="B187" s="311"/>
      <c r="C187" s="311"/>
      <c r="D187" s="311"/>
      <c r="E187" s="311"/>
      <c r="F187" s="311"/>
      <c r="G187" s="311"/>
      <c r="H187" s="311"/>
      <c r="I187" s="311"/>
      <c r="J187" s="311"/>
      <c r="K187" s="311"/>
      <c r="L187" s="311"/>
      <c r="M187" s="311"/>
      <c r="N187" s="311"/>
      <c r="O187" s="312"/>
      <c r="P187" s="143"/>
      <c r="Q187" s="143"/>
      <c r="R187" s="143"/>
      <c r="S187" s="143"/>
      <c r="T187" s="143"/>
      <c r="U187" s="143"/>
      <c r="V187" s="143"/>
      <c r="W187" s="106"/>
    </row>
    <row r="188" spans="1:23" s="129" customFormat="1" ht="45.75" thickBot="1" x14ac:dyDescent="0.3">
      <c r="A188" s="122" t="s">
        <v>1014</v>
      </c>
      <c r="B188" s="122" t="s">
        <v>860</v>
      </c>
      <c r="C188" s="124"/>
      <c r="D188" s="125" t="s">
        <v>1015</v>
      </c>
      <c r="E188" s="124" t="s">
        <v>1016</v>
      </c>
      <c r="F188" s="124" t="s">
        <v>863</v>
      </c>
      <c r="G188" s="124" t="s">
        <v>1017</v>
      </c>
      <c r="H188" s="124" t="s">
        <v>1018</v>
      </c>
      <c r="I188" s="124" t="s">
        <v>1019</v>
      </c>
      <c r="J188" s="124" t="s">
        <v>123</v>
      </c>
      <c r="K188" s="124" t="s">
        <v>764</v>
      </c>
      <c r="L188" s="124" t="s">
        <v>1020</v>
      </c>
      <c r="M188" s="126">
        <v>22869.787499999999</v>
      </c>
      <c r="N188" s="153">
        <v>37390.287499999991</v>
      </c>
      <c r="O188" s="124" t="s">
        <v>1021</v>
      </c>
      <c r="P188" s="127" t="s">
        <v>1022</v>
      </c>
      <c r="Q188" s="127" t="s">
        <v>1137</v>
      </c>
      <c r="R188" s="127">
        <f>M188*19</f>
        <v>434525.96249999997</v>
      </c>
      <c r="S188" s="127"/>
      <c r="T188" s="127"/>
      <c r="U188" s="127"/>
      <c r="V188" s="127"/>
      <c r="W188" s="128">
        <v>1</v>
      </c>
    </row>
    <row r="189" spans="1:23" ht="45.75" thickBot="1" x14ac:dyDescent="0.3">
      <c r="A189" s="122" t="s">
        <v>1023</v>
      </c>
      <c r="B189" s="119" t="s">
        <v>869</v>
      </c>
      <c r="C189" s="86"/>
      <c r="D189" s="92" t="s">
        <v>1024</v>
      </c>
      <c r="E189" s="86" t="s">
        <v>1025</v>
      </c>
      <c r="F189" s="86" t="s">
        <v>863</v>
      </c>
      <c r="G189" s="86" t="s">
        <v>1017</v>
      </c>
      <c r="H189" s="86" t="s">
        <v>1026</v>
      </c>
      <c r="I189" s="91" t="s">
        <v>1027</v>
      </c>
      <c r="J189" s="86" t="s">
        <v>123</v>
      </c>
      <c r="K189" s="86" t="s">
        <v>217</v>
      </c>
      <c r="L189" s="86" t="s">
        <v>1028</v>
      </c>
      <c r="M189" s="121">
        <v>10790.8794</v>
      </c>
      <c r="N189" s="121">
        <v>17642.231399999997</v>
      </c>
      <c r="O189" s="86" t="s">
        <v>1021</v>
      </c>
      <c r="P189" s="146" t="s">
        <v>1029</v>
      </c>
      <c r="Q189" s="207" t="s">
        <v>1138</v>
      </c>
      <c r="R189" s="146">
        <f>M189*12</f>
        <v>129490.5528</v>
      </c>
      <c r="S189" s="146"/>
      <c r="T189" s="146"/>
      <c r="U189" s="146"/>
      <c r="V189" s="146"/>
      <c r="W189" s="114"/>
    </row>
    <row r="190" spans="1:23" s="129" customFormat="1" ht="30.75" thickBot="1" x14ac:dyDescent="0.3">
      <c r="A190" s="122" t="s">
        <v>1030</v>
      </c>
      <c r="B190" s="122" t="s">
        <v>877</v>
      </c>
      <c r="C190" s="124"/>
      <c r="D190" s="125" t="s">
        <v>1031</v>
      </c>
      <c r="E190" s="124" t="s">
        <v>1025</v>
      </c>
      <c r="F190" s="124" t="s">
        <v>863</v>
      </c>
      <c r="G190" s="124" t="s">
        <v>1017</v>
      </c>
      <c r="H190" s="124" t="s">
        <v>1032</v>
      </c>
      <c r="I190" s="124" t="s">
        <v>1033</v>
      </c>
      <c r="J190" s="124" t="s">
        <v>123</v>
      </c>
      <c r="K190" s="124" t="s">
        <v>217</v>
      </c>
      <c r="L190" s="124" t="s">
        <v>1034</v>
      </c>
      <c r="M190" s="126">
        <v>9457.7993999999999</v>
      </c>
      <c r="N190" s="126">
        <v>15462.751400000001</v>
      </c>
      <c r="O190" s="124"/>
      <c r="P190" s="127" t="s">
        <v>1035</v>
      </c>
      <c r="Q190" s="127" t="s">
        <v>1139</v>
      </c>
      <c r="R190" s="127">
        <f>M190*8</f>
        <v>75662.395199999999</v>
      </c>
      <c r="S190" s="127"/>
      <c r="T190" s="127"/>
      <c r="U190" s="127"/>
      <c r="V190" s="127"/>
      <c r="W190" s="128">
        <v>1</v>
      </c>
    </row>
    <row r="191" spans="1:23" ht="30.75" thickBot="1" x14ac:dyDescent="0.3">
      <c r="A191" s="122" t="s">
        <v>1036</v>
      </c>
      <c r="B191" s="119" t="s">
        <v>885</v>
      </c>
      <c r="C191" s="86"/>
      <c r="D191" s="92" t="s">
        <v>89</v>
      </c>
      <c r="E191" s="86" t="s">
        <v>90</v>
      </c>
      <c r="F191" s="86"/>
      <c r="G191" s="86" t="s">
        <v>1037</v>
      </c>
      <c r="H191" s="86" t="s">
        <v>1038</v>
      </c>
      <c r="I191" s="91" t="s">
        <v>67</v>
      </c>
      <c r="J191" s="86" t="s">
        <v>123</v>
      </c>
      <c r="K191" s="86" t="s">
        <v>201</v>
      </c>
      <c r="L191" s="86" t="s">
        <v>1039</v>
      </c>
      <c r="M191" s="121">
        <v>12350.709000000001</v>
      </c>
      <c r="N191" s="121">
        <v>20192.429</v>
      </c>
      <c r="O191" s="86"/>
      <c r="P191" s="201" t="s">
        <v>1040</v>
      </c>
      <c r="Q191" s="45" t="s">
        <v>93</v>
      </c>
      <c r="R191" s="201">
        <f>M191*14</f>
        <v>172909.92600000001</v>
      </c>
      <c r="S191" s="201"/>
      <c r="T191" s="201"/>
      <c r="U191" s="201"/>
      <c r="V191" s="201"/>
      <c r="W191" s="114"/>
    </row>
    <row r="192" spans="1:23" s="129" customFormat="1" ht="30.75" thickBot="1" x14ac:dyDescent="0.3">
      <c r="A192" s="122" t="s">
        <v>1041</v>
      </c>
      <c r="B192" s="122" t="s">
        <v>892</v>
      </c>
      <c r="C192" s="124"/>
      <c r="D192" s="125" t="s">
        <v>1042</v>
      </c>
      <c r="E192" s="124" t="s">
        <v>90</v>
      </c>
      <c r="F192" s="124"/>
      <c r="G192" s="124" t="s">
        <v>1037</v>
      </c>
      <c r="H192" s="124" t="s">
        <v>1043</v>
      </c>
      <c r="I192" s="124" t="s">
        <v>91</v>
      </c>
      <c r="J192" s="124" t="s">
        <v>123</v>
      </c>
      <c r="K192" s="124" t="s">
        <v>217</v>
      </c>
      <c r="L192" s="124" t="s">
        <v>1044</v>
      </c>
      <c r="M192" s="126">
        <v>11575.090799999994</v>
      </c>
      <c r="N192" s="126">
        <v>18924.35479999999</v>
      </c>
      <c r="O192" s="124"/>
      <c r="P192" s="152" t="s">
        <v>1045</v>
      </c>
      <c r="Q192" s="152" t="s">
        <v>92</v>
      </c>
      <c r="R192" s="152">
        <f>M192*14</f>
        <v>162051.27119999993</v>
      </c>
      <c r="S192" s="152"/>
      <c r="T192" s="152"/>
      <c r="U192" s="152"/>
      <c r="V192" s="152"/>
      <c r="W192" s="128">
        <v>1</v>
      </c>
    </row>
    <row r="193" spans="1:23" s="129" customFormat="1" ht="30.75" thickBot="1" x14ac:dyDescent="0.3">
      <c r="A193" s="122" t="s">
        <v>1046</v>
      </c>
      <c r="B193" s="122" t="s">
        <v>897</v>
      </c>
      <c r="C193" s="124"/>
      <c r="D193" s="125" t="s">
        <v>1047</v>
      </c>
      <c r="E193" s="124" t="s">
        <v>1048</v>
      </c>
      <c r="F193" s="124"/>
      <c r="G193" s="124"/>
      <c r="H193" s="124" t="s">
        <v>1049</v>
      </c>
      <c r="I193" s="124" t="s">
        <v>263</v>
      </c>
      <c r="J193" s="124" t="s">
        <v>123</v>
      </c>
      <c r="K193" s="124" t="s">
        <v>155</v>
      </c>
      <c r="L193" s="124" t="s">
        <v>272</v>
      </c>
      <c r="M193" s="126">
        <v>5670</v>
      </c>
      <c r="N193" s="126">
        <v>9270</v>
      </c>
      <c r="O193" s="124"/>
      <c r="P193" s="194" t="s">
        <v>1050</v>
      </c>
      <c r="Q193" s="194" t="s">
        <v>1091</v>
      </c>
      <c r="R193" s="194">
        <f>M193*3</f>
        <v>17010</v>
      </c>
      <c r="S193" s="194"/>
      <c r="T193" s="194"/>
      <c r="U193" s="194"/>
      <c r="V193" s="194"/>
      <c r="W193" s="128">
        <v>1</v>
      </c>
    </row>
    <row r="194" spans="1:23" s="129" customFormat="1" ht="30.75" thickBot="1" x14ac:dyDescent="0.3">
      <c r="A194" s="122" t="s">
        <v>1051</v>
      </c>
      <c r="B194" s="122" t="s">
        <v>905</v>
      </c>
      <c r="C194" s="124"/>
      <c r="D194" s="125" t="s">
        <v>1052</v>
      </c>
      <c r="E194" s="124" t="s">
        <v>914</v>
      </c>
      <c r="F194" s="124"/>
      <c r="G194" s="124"/>
      <c r="H194" s="124" t="s">
        <v>1053</v>
      </c>
      <c r="I194" s="124" t="s">
        <v>1054</v>
      </c>
      <c r="J194" s="124" t="s">
        <v>123</v>
      </c>
      <c r="K194" s="124" t="s">
        <v>257</v>
      </c>
      <c r="L194" s="124" t="s">
        <v>1055</v>
      </c>
      <c r="M194" s="126">
        <v>6473.25</v>
      </c>
      <c r="N194" s="126">
        <v>10583.25</v>
      </c>
      <c r="O194" s="124"/>
      <c r="P194" s="127" t="s">
        <v>1056</v>
      </c>
      <c r="Q194" s="194" t="s">
        <v>1091</v>
      </c>
      <c r="R194" s="127">
        <f>M194*3</f>
        <v>19419.75</v>
      </c>
      <c r="S194" s="127"/>
      <c r="T194" s="127"/>
      <c r="U194" s="127"/>
      <c r="V194" s="127"/>
      <c r="W194" s="128">
        <v>1</v>
      </c>
    </row>
    <row r="195" spans="1:23" s="129" customFormat="1" ht="30.75" thickBot="1" x14ac:dyDescent="0.3">
      <c r="A195" s="122" t="s">
        <v>1057</v>
      </c>
      <c r="B195" s="122" t="s">
        <v>912</v>
      </c>
      <c r="C195" s="124"/>
      <c r="D195" s="125" t="s">
        <v>1058</v>
      </c>
      <c r="E195" s="124" t="s">
        <v>1059</v>
      </c>
      <c r="F195" s="124" t="s">
        <v>373</v>
      </c>
      <c r="G195" s="124" t="s">
        <v>1060</v>
      </c>
      <c r="H195" s="124" t="s">
        <v>1061</v>
      </c>
      <c r="I195" s="124" t="s">
        <v>406</v>
      </c>
      <c r="J195" s="124" t="s">
        <v>123</v>
      </c>
      <c r="K195" s="124" t="s">
        <v>141</v>
      </c>
      <c r="L195" s="124" t="s">
        <v>272</v>
      </c>
      <c r="M195" s="126">
        <v>7996.9679999999998</v>
      </c>
      <c r="N195" s="126">
        <v>13074.407999999999</v>
      </c>
      <c r="O195" s="124"/>
      <c r="P195" s="152" t="s">
        <v>1062</v>
      </c>
      <c r="Q195" s="152" t="s">
        <v>1101</v>
      </c>
      <c r="R195" s="152">
        <f>M195*7</f>
        <v>55978.775999999998</v>
      </c>
      <c r="S195" s="152"/>
      <c r="T195" s="152"/>
      <c r="U195" s="152"/>
      <c r="V195" s="152"/>
      <c r="W195" s="128">
        <v>1</v>
      </c>
    </row>
    <row r="196" spans="1:23" s="129" customFormat="1" ht="15.75" thickBot="1" x14ac:dyDescent="0.3">
      <c r="A196" s="122" t="s">
        <v>1063</v>
      </c>
      <c r="B196" s="122" t="s">
        <v>920</v>
      </c>
      <c r="C196" s="124"/>
      <c r="D196" s="125" t="s">
        <v>1064</v>
      </c>
      <c r="E196" s="124" t="s">
        <v>1065</v>
      </c>
      <c r="F196" s="124" t="s">
        <v>213</v>
      </c>
      <c r="G196" s="124" t="s">
        <v>34</v>
      </c>
      <c r="H196" s="124" t="s">
        <v>1066</v>
      </c>
      <c r="I196" s="124" t="s">
        <v>67</v>
      </c>
      <c r="J196" s="124" t="s">
        <v>123</v>
      </c>
      <c r="K196" s="124" t="s">
        <v>155</v>
      </c>
      <c r="L196" s="124" t="s">
        <v>519</v>
      </c>
      <c r="M196" s="126">
        <v>10647.5985</v>
      </c>
      <c r="N196" s="126">
        <v>17407.978500000001</v>
      </c>
      <c r="O196" s="124"/>
      <c r="P196" s="127" t="s">
        <v>1067</v>
      </c>
      <c r="Q196" s="127" t="s">
        <v>93</v>
      </c>
      <c r="R196" s="127">
        <f>M196*14</f>
        <v>149066.37900000002</v>
      </c>
      <c r="S196" s="127"/>
      <c r="T196" s="127"/>
      <c r="U196" s="127"/>
      <c r="V196" s="127"/>
      <c r="W196" s="128">
        <v>1</v>
      </c>
    </row>
    <row r="197" spans="1:23" s="129" customFormat="1" ht="15.75" thickBot="1" x14ac:dyDescent="0.3">
      <c r="A197" s="122" t="s">
        <v>1068</v>
      </c>
      <c r="B197" s="122" t="s">
        <v>40</v>
      </c>
      <c r="C197" s="124"/>
      <c r="D197" s="125" t="s">
        <v>1069</v>
      </c>
      <c r="E197" s="124" t="s">
        <v>1065</v>
      </c>
      <c r="F197" s="124" t="s">
        <v>213</v>
      </c>
      <c r="G197" s="124" t="s">
        <v>34</v>
      </c>
      <c r="H197" s="124" t="s">
        <v>1070</v>
      </c>
      <c r="I197" s="124" t="s">
        <v>1071</v>
      </c>
      <c r="J197" s="124" t="s">
        <v>123</v>
      </c>
      <c r="K197" s="124" t="s">
        <v>155</v>
      </c>
      <c r="L197" s="124" t="s">
        <v>272</v>
      </c>
      <c r="M197" s="126">
        <v>5670</v>
      </c>
      <c r="N197" s="126">
        <v>9270</v>
      </c>
      <c r="O197" s="124"/>
      <c r="P197" s="127" t="s">
        <v>1072</v>
      </c>
      <c r="Q197" s="127" t="s">
        <v>55</v>
      </c>
      <c r="R197" s="127">
        <f>M197*3</f>
        <v>17010</v>
      </c>
      <c r="S197" s="127"/>
      <c r="T197" s="127"/>
      <c r="U197" s="127"/>
      <c r="V197" s="127"/>
      <c r="W197" s="128">
        <v>1</v>
      </c>
    </row>
    <row r="198" spans="1:23" s="129" customFormat="1" x14ac:dyDescent="0.25">
      <c r="A198" s="122" t="s">
        <v>1073</v>
      </c>
      <c r="B198" s="122" t="s">
        <v>43</v>
      </c>
      <c r="C198" s="124"/>
      <c r="D198" s="125" t="s">
        <v>1074</v>
      </c>
      <c r="E198" s="124" t="s">
        <v>1065</v>
      </c>
      <c r="F198" s="124" t="s">
        <v>213</v>
      </c>
      <c r="G198" s="124" t="s">
        <v>34</v>
      </c>
      <c r="H198" s="124" t="s">
        <v>1075</v>
      </c>
      <c r="I198" s="124" t="s">
        <v>263</v>
      </c>
      <c r="J198" s="124" t="s">
        <v>123</v>
      </c>
      <c r="K198" s="124" t="s">
        <v>1076</v>
      </c>
      <c r="L198" s="124" t="s">
        <v>519</v>
      </c>
      <c r="M198" s="126">
        <v>5670</v>
      </c>
      <c r="N198" s="126">
        <v>9270</v>
      </c>
      <c r="O198" s="124"/>
      <c r="P198" s="194" t="s">
        <v>1077</v>
      </c>
      <c r="Q198" s="194" t="s">
        <v>1091</v>
      </c>
      <c r="R198" s="194">
        <f>M198*3</f>
        <v>17010</v>
      </c>
      <c r="S198" s="194"/>
      <c r="T198" s="194"/>
      <c r="U198" s="194"/>
      <c r="V198" s="194"/>
      <c r="W198" s="128">
        <v>1</v>
      </c>
    </row>
    <row r="200" spans="1:23" x14ac:dyDescent="0.25">
      <c r="R200" s="235">
        <f>SUM(R6:R198)</f>
        <v>10616013.375183746</v>
      </c>
    </row>
    <row r="203" spans="1:23" x14ac:dyDescent="0.25">
      <c r="E203" s="202"/>
    </row>
    <row r="328" spans="1:24" s="206" customFormat="1" ht="15.75" thickBot="1" x14ac:dyDescent="0.3">
      <c r="A328" s="115"/>
      <c r="B328" s="97"/>
      <c r="C328" s="97"/>
      <c r="D328" s="97"/>
      <c r="E328" s="97"/>
      <c r="F328" s="97"/>
      <c r="G328" s="97"/>
      <c r="H328" s="97"/>
      <c r="I328" s="97"/>
      <c r="J328" s="97"/>
      <c r="K328" s="97"/>
      <c r="L328" s="97"/>
      <c r="O328" s="97"/>
      <c r="P328" s="97"/>
      <c r="Q328" s="97"/>
      <c r="R328" s="204"/>
      <c r="S328" s="97"/>
      <c r="T328" s="97"/>
      <c r="U328" s="97"/>
      <c r="V328" s="97"/>
      <c r="W328" s="97"/>
      <c r="X328" s="97"/>
    </row>
    <row r="329" spans="1:24" s="206" customFormat="1" x14ac:dyDescent="0.25">
      <c r="A329" s="156"/>
      <c r="B329" s="97"/>
      <c r="C329" s="97"/>
      <c r="D329" s="97"/>
      <c r="E329" s="97"/>
      <c r="F329" s="97"/>
      <c r="G329" s="97"/>
      <c r="H329" s="97"/>
      <c r="I329" s="97"/>
      <c r="J329" s="97"/>
      <c r="K329" s="97"/>
      <c r="L329" s="97"/>
      <c r="O329" s="97"/>
      <c r="P329" s="97"/>
      <c r="Q329" s="97"/>
      <c r="R329" s="204"/>
      <c r="S329" s="97"/>
      <c r="T329" s="97"/>
      <c r="U329" s="97"/>
      <c r="V329" s="97"/>
      <c r="W329" s="97"/>
      <c r="X329" s="97"/>
    </row>
  </sheetData>
  <mergeCells count="31">
    <mergeCell ref="A50:O50"/>
    <mergeCell ref="A1:O1"/>
    <mergeCell ref="A2:O2"/>
    <mergeCell ref="E3:G3"/>
    <mergeCell ref="T3:U3"/>
    <mergeCell ref="A5:O5"/>
    <mergeCell ref="A7:O7"/>
    <mergeCell ref="A11:O11"/>
    <mergeCell ref="A13:O13"/>
    <mergeCell ref="A19:O19"/>
    <mergeCell ref="A45:O45"/>
    <mergeCell ref="A47:O47"/>
    <mergeCell ref="A96:O96"/>
    <mergeCell ref="A54:O54"/>
    <mergeCell ref="A57:O57"/>
    <mergeCell ref="A67:O67"/>
    <mergeCell ref="A70:O70"/>
    <mergeCell ref="A73:O73"/>
    <mergeCell ref="A75:O75"/>
    <mergeCell ref="A77:O77"/>
    <mergeCell ref="A79:O79"/>
    <mergeCell ref="A85:O85"/>
    <mergeCell ref="A87:O87"/>
    <mergeCell ref="A89:O89"/>
    <mergeCell ref="A187:O187"/>
    <mergeCell ref="A109:O109"/>
    <mergeCell ref="A113:O113"/>
    <mergeCell ref="A117:O117"/>
    <mergeCell ref="A119:O119"/>
    <mergeCell ref="A133:O133"/>
    <mergeCell ref="A159:O1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86"/>
  <sheetViews>
    <sheetView workbookViewId="0">
      <selection sqref="A1:XFD1048576"/>
    </sheetView>
  </sheetViews>
  <sheetFormatPr defaultRowHeight="15.75" x14ac:dyDescent="0.25"/>
  <cols>
    <col min="1" max="2" width="9.140625" style="1"/>
    <col min="3" max="3" width="6.5703125" style="78" customWidth="1"/>
    <col min="4" max="4" width="24.85546875" style="1" customWidth="1"/>
    <col min="5" max="5" width="19" style="1" customWidth="1"/>
    <col min="6" max="6" width="13" style="1" hidden="1" customWidth="1"/>
    <col min="7" max="7" width="13.5703125" style="1" hidden="1" customWidth="1"/>
    <col min="8" max="8" width="11" style="1" hidden="1" customWidth="1"/>
    <col min="9" max="9" width="10.5703125" style="1" hidden="1" customWidth="1"/>
    <col min="10" max="10" width="10" style="1" hidden="1" customWidth="1"/>
    <col min="11" max="11" width="8.5703125" style="1" hidden="1" customWidth="1"/>
    <col min="12" max="12" width="10.7109375" style="79" hidden="1" customWidth="1"/>
    <col min="13" max="13" width="9.42578125" style="80" hidden="1" customWidth="1"/>
    <col min="14" max="14" width="14.5703125" style="81" hidden="1" customWidth="1"/>
    <col min="15" max="15" width="6.7109375" style="82" hidden="1" customWidth="1"/>
    <col min="16" max="16" width="9" style="81" hidden="1" customWidth="1"/>
    <col min="17" max="17" width="6.85546875" style="81" hidden="1" customWidth="1"/>
    <col min="18" max="18" width="10.5703125" style="82" hidden="1" customWidth="1"/>
    <col min="19" max="19" width="12.28515625" style="1" hidden="1" customWidth="1"/>
    <col min="20" max="20" width="12.5703125" style="1" hidden="1" customWidth="1"/>
    <col min="21" max="21" width="0.28515625" style="1" customWidth="1"/>
    <col min="22" max="22" width="12.85546875" style="1" customWidth="1"/>
    <col min="23" max="23" width="10.5703125" style="213" customWidth="1"/>
    <col min="24" max="24" width="10" style="1" hidden="1" customWidth="1"/>
    <col min="25" max="25" width="11.42578125" style="1" customWidth="1"/>
    <col min="26" max="26" width="14.5703125" style="1" customWidth="1"/>
    <col min="27" max="27" width="12.7109375" style="1" hidden="1" customWidth="1"/>
    <col min="28" max="28" width="9" style="1" customWidth="1"/>
    <col min="29" max="30" width="14.5703125" style="1" customWidth="1"/>
    <col min="31" max="31" width="15.140625" style="1" customWidth="1"/>
    <col min="32" max="32" width="9.140625" style="1" customWidth="1"/>
    <col min="33" max="33" width="12.42578125" style="1" bestFit="1" customWidth="1"/>
    <col min="34" max="36" width="9.140625" style="1"/>
    <col min="37" max="37" width="10" style="1" bestFit="1" customWidth="1"/>
    <col min="38" max="253" width="9.140625" style="1"/>
    <col min="254" max="254" width="5.140625" style="1" customWidth="1"/>
    <col min="255" max="255" width="33.5703125" style="1" customWidth="1"/>
    <col min="256" max="256" width="25.85546875" style="1" customWidth="1"/>
    <col min="257" max="257" width="0" style="1" hidden="1" customWidth="1"/>
    <col min="258" max="258" width="14.85546875" style="1" customWidth="1"/>
    <col min="259" max="259" width="13.85546875" style="1" customWidth="1"/>
    <col min="260" max="260" width="12.140625" style="1" customWidth="1"/>
    <col min="261" max="261" width="13.7109375" style="1" customWidth="1"/>
    <col min="262" max="262" width="8.5703125" style="1" customWidth="1"/>
    <col min="263" max="263" width="13" style="1" customWidth="1"/>
    <col min="264" max="264" width="9" style="1" customWidth="1"/>
    <col min="265" max="265" width="6.7109375" style="1" customWidth="1"/>
    <col min="266" max="266" width="9" style="1" customWidth="1"/>
    <col min="267" max="267" width="6.85546875" style="1" customWidth="1"/>
    <col min="268" max="268" width="10.5703125" style="1" customWidth="1"/>
    <col min="269" max="269" width="12.28515625" style="1" customWidth="1"/>
    <col min="270" max="270" width="12.5703125" style="1" customWidth="1"/>
    <col min="271" max="271" width="1.5703125" style="1" customWidth="1"/>
    <col min="272" max="272" width="45.140625" style="1" customWidth="1"/>
    <col min="273" max="273" width="13.140625" style="1" customWidth="1"/>
    <col min="274" max="274" width="10.28515625" style="1" bestFit="1" customWidth="1"/>
    <col min="275" max="275" width="16.28515625" style="1" bestFit="1" customWidth="1"/>
    <col min="276" max="276" width="11.28515625" style="1" bestFit="1" customWidth="1"/>
    <col min="277" max="509" width="9.140625" style="1"/>
    <col min="510" max="510" width="5.140625" style="1" customWidth="1"/>
    <col min="511" max="511" width="33.5703125" style="1" customWidth="1"/>
    <col min="512" max="512" width="25.85546875" style="1" customWidth="1"/>
    <col min="513" max="513" width="0" style="1" hidden="1" customWidth="1"/>
    <col min="514" max="514" width="14.85546875" style="1" customWidth="1"/>
    <col min="515" max="515" width="13.85546875" style="1" customWidth="1"/>
    <col min="516" max="516" width="12.140625" style="1" customWidth="1"/>
    <col min="517" max="517" width="13.7109375" style="1" customWidth="1"/>
    <col min="518" max="518" width="8.5703125" style="1" customWidth="1"/>
    <col min="519" max="519" width="13" style="1" customWidth="1"/>
    <col min="520" max="520" width="9" style="1" customWidth="1"/>
    <col min="521" max="521" width="6.7109375" style="1" customWidth="1"/>
    <col min="522" max="522" width="9" style="1" customWidth="1"/>
    <col min="523" max="523" width="6.85546875" style="1" customWidth="1"/>
    <col min="524" max="524" width="10.5703125" style="1" customWidth="1"/>
    <col min="525" max="525" width="12.28515625" style="1" customWidth="1"/>
    <col min="526" max="526" width="12.5703125" style="1" customWidth="1"/>
    <col min="527" max="527" width="1.5703125" style="1" customWidth="1"/>
    <col min="528" max="528" width="45.140625" style="1" customWidth="1"/>
    <col min="529" max="529" width="13.140625" style="1" customWidth="1"/>
    <col min="530" max="530" width="10.28515625" style="1" bestFit="1" customWidth="1"/>
    <col min="531" max="531" width="16.28515625" style="1" bestFit="1" customWidth="1"/>
    <col min="532" max="532" width="11.28515625" style="1" bestFit="1" customWidth="1"/>
    <col min="533" max="765" width="9.140625" style="1"/>
    <col min="766" max="766" width="5.140625" style="1" customWidth="1"/>
    <col min="767" max="767" width="33.5703125" style="1" customWidth="1"/>
    <col min="768" max="768" width="25.85546875" style="1" customWidth="1"/>
    <col min="769" max="769" width="0" style="1" hidden="1" customWidth="1"/>
    <col min="770" max="770" width="14.85546875" style="1" customWidth="1"/>
    <col min="771" max="771" width="13.85546875" style="1" customWidth="1"/>
    <col min="772" max="772" width="12.140625" style="1" customWidth="1"/>
    <col min="773" max="773" width="13.7109375" style="1" customWidth="1"/>
    <col min="774" max="774" width="8.5703125" style="1" customWidth="1"/>
    <col min="775" max="775" width="13" style="1" customWidth="1"/>
    <col min="776" max="776" width="9" style="1" customWidth="1"/>
    <col min="777" max="777" width="6.7109375" style="1" customWidth="1"/>
    <col min="778" max="778" width="9" style="1" customWidth="1"/>
    <col min="779" max="779" width="6.85546875" style="1" customWidth="1"/>
    <col min="780" max="780" width="10.5703125" style="1" customWidth="1"/>
    <col min="781" max="781" width="12.28515625" style="1" customWidth="1"/>
    <col min="782" max="782" width="12.5703125" style="1" customWidth="1"/>
    <col min="783" max="783" width="1.5703125" style="1" customWidth="1"/>
    <col min="784" max="784" width="45.140625" style="1" customWidth="1"/>
    <col min="785" max="785" width="13.140625" style="1" customWidth="1"/>
    <col min="786" max="786" width="10.28515625" style="1" bestFit="1" customWidth="1"/>
    <col min="787" max="787" width="16.28515625" style="1" bestFit="1" customWidth="1"/>
    <col min="788" max="788" width="11.28515625" style="1" bestFit="1" customWidth="1"/>
    <col min="789" max="1021" width="9.140625" style="1"/>
    <col min="1022" max="1022" width="5.140625" style="1" customWidth="1"/>
    <col min="1023" max="1023" width="33.5703125" style="1" customWidth="1"/>
    <col min="1024" max="1024" width="25.85546875" style="1" customWidth="1"/>
    <col min="1025" max="1025" width="0" style="1" hidden="1" customWidth="1"/>
    <col min="1026" max="1026" width="14.85546875" style="1" customWidth="1"/>
    <col min="1027" max="1027" width="13.85546875" style="1" customWidth="1"/>
    <col min="1028" max="1028" width="12.140625" style="1" customWidth="1"/>
    <col min="1029" max="1029" width="13.7109375" style="1" customWidth="1"/>
    <col min="1030" max="1030" width="8.5703125" style="1" customWidth="1"/>
    <col min="1031" max="1031" width="13" style="1" customWidth="1"/>
    <col min="1032" max="1032" width="9" style="1" customWidth="1"/>
    <col min="1033" max="1033" width="6.7109375" style="1" customWidth="1"/>
    <col min="1034" max="1034" width="9" style="1" customWidth="1"/>
    <col min="1035" max="1035" width="6.85546875" style="1" customWidth="1"/>
    <col min="1036" max="1036" width="10.5703125" style="1" customWidth="1"/>
    <col min="1037" max="1037" width="12.28515625" style="1" customWidth="1"/>
    <col min="1038" max="1038" width="12.5703125" style="1" customWidth="1"/>
    <col min="1039" max="1039" width="1.5703125" style="1" customWidth="1"/>
    <col min="1040" max="1040" width="45.140625" style="1" customWidth="1"/>
    <col min="1041" max="1041" width="13.140625" style="1" customWidth="1"/>
    <col min="1042" max="1042" width="10.28515625" style="1" bestFit="1" customWidth="1"/>
    <col min="1043" max="1043" width="16.28515625" style="1" bestFit="1" customWidth="1"/>
    <col min="1044" max="1044" width="11.28515625" style="1" bestFit="1" customWidth="1"/>
    <col min="1045" max="1277" width="9.140625" style="1"/>
    <col min="1278" max="1278" width="5.140625" style="1" customWidth="1"/>
    <col min="1279" max="1279" width="33.5703125" style="1" customWidth="1"/>
    <col min="1280" max="1280" width="25.85546875" style="1" customWidth="1"/>
    <col min="1281" max="1281" width="0" style="1" hidden="1" customWidth="1"/>
    <col min="1282" max="1282" width="14.85546875" style="1" customWidth="1"/>
    <col min="1283" max="1283" width="13.85546875" style="1" customWidth="1"/>
    <col min="1284" max="1284" width="12.140625" style="1" customWidth="1"/>
    <col min="1285" max="1285" width="13.7109375" style="1" customWidth="1"/>
    <col min="1286" max="1286" width="8.5703125" style="1" customWidth="1"/>
    <col min="1287" max="1287" width="13" style="1" customWidth="1"/>
    <col min="1288" max="1288" width="9" style="1" customWidth="1"/>
    <col min="1289" max="1289" width="6.7109375" style="1" customWidth="1"/>
    <col min="1290" max="1290" width="9" style="1" customWidth="1"/>
    <col min="1291" max="1291" width="6.85546875" style="1" customWidth="1"/>
    <col min="1292" max="1292" width="10.5703125" style="1" customWidth="1"/>
    <col min="1293" max="1293" width="12.28515625" style="1" customWidth="1"/>
    <col min="1294" max="1294" width="12.5703125" style="1" customWidth="1"/>
    <col min="1295" max="1295" width="1.5703125" style="1" customWidth="1"/>
    <col min="1296" max="1296" width="45.140625" style="1" customWidth="1"/>
    <col min="1297" max="1297" width="13.140625" style="1" customWidth="1"/>
    <col min="1298" max="1298" width="10.28515625" style="1" bestFit="1" customWidth="1"/>
    <col min="1299" max="1299" width="16.28515625" style="1" bestFit="1" customWidth="1"/>
    <col min="1300" max="1300" width="11.28515625" style="1" bestFit="1" customWidth="1"/>
    <col min="1301" max="1533" width="9.140625" style="1"/>
    <col min="1534" max="1534" width="5.140625" style="1" customWidth="1"/>
    <col min="1535" max="1535" width="33.5703125" style="1" customWidth="1"/>
    <col min="1536" max="1536" width="25.85546875" style="1" customWidth="1"/>
    <col min="1537" max="1537" width="0" style="1" hidden="1" customWidth="1"/>
    <col min="1538" max="1538" width="14.85546875" style="1" customWidth="1"/>
    <col min="1539" max="1539" width="13.85546875" style="1" customWidth="1"/>
    <col min="1540" max="1540" width="12.140625" style="1" customWidth="1"/>
    <col min="1541" max="1541" width="13.7109375" style="1" customWidth="1"/>
    <col min="1542" max="1542" width="8.5703125" style="1" customWidth="1"/>
    <col min="1543" max="1543" width="13" style="1" customWidth="1"/>
    <col min="1544" max="1544" width="9" style="1" customWidth="1"/>
    <col min="1545" max="1545" width="6.7109375" style="1" customWidth="1"/>
    <col min="1546" max="1546" width="9" style="1" customWidth="1"/>
    <col min="1547" max="1547" width="6.85546875" style="1" customWidth="1"/>
    <col min="1548" max="1548" width="10.5703125" style="1" customWidth="1"/>
    <col min="1549" max="1549" width="12.28515625" style="1" customWidth="1"/>
    <col min="1550" max="1550" width="12.5703125" style="1" customWidth="1"/>
    <col min="1551" max="1551" width="1.5703125" style="1" customWidth="1"/>
    <col min="1552" max="1552" width="45.140625" style="1" customWidth="1"/>
    <col min="1553" max="1553" width="13.140625" style="1" customWidth="1"/>
    <col min="1554" max="1554" width="10.28515625" style="1" bestFit="1" customWidth="1"/>
    <col min="1555" max="1555" width="16.28515625" style="1" bestFit="1" customWidth="1"/>
    <col min="1556" max="1556" width="11.28515625" style="1" bestFit="1" customWidth="1"/>
    <col min="1557" max="1789" width="9.140625" style="1"/>
    <col min="1790" max="1790" width="5.140625" style="1" customWidth="1"/>
    <col min="1791" max="1791" width="33.5703125" style="1" customWidth="1"/>
    <col min="1792" max="1792" width="25.85546875" style="1" customWidth="1"/>
    <col min="1793" max="1793" width="0" style="1" hidden="1" customWidth="1"/>
    <col min="1794" max="1794" width="14.85546875" style="1" customWidth="1"/>
    <col min="1795" max="1795" width="13.85546875" style="1" customWidth="1"/>
    <col min="1796" max="1796" width="12.140625" style="1" customWidth="1"/>
    <col min="1797" max="1797" width="13.7109375" style="1" customWidth="1"/>
    <col min="1798" max="1798" width="8.5703125" style="1" customWidth="1"/>
    <col min="1799" max="1799" width="13" style="1" customWidth="1"/>
    <col min="1800" max="1800" width="9" style="1" customWidth="1"/>
    <col min="1801" max="1801" width="6.7109375" style="1" customWidth="1"/>
    <col min="1802" max="1802" width="9" style="1" customWidth="1"/>
    <col min="1803" max="1803" width="6.85546875" style="1" customWidth="1"/>
    <col min="1804" max="1804" width="10.5703125" style="1" customWidth="1"/>
    <col min="1805" max="1805" width="12.28515625" style="1" customWidth="1"/>
    <col min="1806" max="1806" width="12.5703125" style="1" customWidth="1"/>
    <col min="1807" max="1807" width="1.5703125" style="1" customWidth="1"/>
    <col min="1808" max="1808" width="45.140625" style="1" customWidth="1"/>
    <col min="1809" max="1809" width="13.140625" style="1" customWidth="1"/>
    <col min="1810" max="1810" width="10.28515625" style="1" bestFit="1" customWidth="1"/>
    <col min="1811" max="1811" width="16.28515625" style="1" bestFit="1" customWidth="1"/>
    <col min="1812" max="1812" width="11.28515625" style="1" bestFit="1" customWidth="1"/>
    <col min="1813" max="2045" width="9.140625" style="1"/>
    <col min="2046" max="2046" width="5.140625" style="1" customWidth="1"/>
    <col min="2047" max="2047" width="33.5703125" style="1" customWidth="1"/>
    <col min="2048" max="2048" width="25.85546875" style="1" customWidth="1"/>
    <col min="2049" max="2049" width="0" style="1" hidden="1" customWidth="1"/>
    <col min="2050" max="2050" width="14.85546875" style="1" customWidth="1"/>
    <col min="2051" max="2051" width="13.85546875" style="1" customWidth="1"/>
    <col min="2052" max="2052" width="12.140625" style="1" customWidth="1"/>
    <col min="2053" max="2053" width="13.7109375" style="1" customWidth="1"/>
    <col min="2054" max="2054" width="8.5703125" style="1" customWidth="1"/>
    <col min="2055" max="2055" width="13" style="1" customWidth="1"/>
    <col min="2056" max="2056" width="9" style="1" customWidth="1"/>
    <col min="2057" max="2057" width="6.7109375" style="1" customWidth="1"/>
    <col min="2058" max="2058" width="9" style="1" customWidth="1"/>
    <col min="2059" max="2059" width="6.85546875" style="1" customWidth="1"/>
    <col min="2060" max="2060" width="10.5703125" style="1" customWidth="1"/>
    <col min="2061" max="2061" width="12.28515625" style="1" customWidth="1"/>
    <col min="2062" max="2062" width="12.5703125" style="1" customWidth="1"/>
    <col min="2063" max="2063" width="1.5703125" style="1" customWidth="1"/>
    <col min="2064" max="2064" width="45.140625" style="1" customWidth="1"/>
    <col min="2065" max="2065" width="13.140625" style="1" customWidth="1"/>
    <col min="2066" max="2066" width="10.28515625" style="1" bestFit="1" customWidth="1"/>
    <col min="2067" max="2067" width="16.28515625" style="1" bestFit="1" customWidth="1"/>
    <col min="2068" max="2068" width="11.28515625" style="1" bestFit="1" customWidth="1"/>
    <col min="2069" max="2301" width="9.140625" style="1"/>
    <col min="2302" max="2302" width="5.140625" style="1" customWidth="1"/>
    <col min="2303" max="2303" width="33.5703125" style="1" customWidth="1"/>
    <col min="2304" max="2304" width="25.85546875" style="1" customWidth="1"/>
    <col min="2305" max="2305" width="0" style="1" hidden="1" customWidth="1"/>
    <col min="2306" max="2306" width="14.85546875" style="1" customWidth="1"/>
    <col min="2307" max="2307" width="13.85546875" style="1" customWidth="1"/>
    <col min="2308" max="2308" width="12.140625" style="1" customWidth="1"/>
    <col min="2309" max="2309" width="13.7109375" style="1" customWidth="1"/>
    <col min="2310" max="2310" width="8.5703125" style="1" customWidth="1"/>
    <col min="2311" max="2311" width="13" style="1" customWidth="1"/>
    <col min="2312" max="2312" width="9" style="1" customWidth="1"/>
    <col min="2313" max="2313" width="6.7109375" style="1" customWidth="1"/>
    <col min="2314" max="2314" width="9" style="1" customWidth="1"/>
    <col min="2315" max="2315" width="6.85546875" style="1" customWidth="1"/>
    <col min="2316" max="2316" width="10.5703125" style="1" customWidth="1"/>
    <col min="2317" max="2317" width="12.28515625" style="1" customWidth="1"/>
    <col min="2318" max="2318" width="12.5703125" style="1" customWidth="1"/>
    <col min="2319" max="2319" width="1.5703125" style="1" customWidth="1"/>
    <col min="2320" max="2320" width="45.140625" style="1" customWidth="1"/>
    <col min="2321" max="2321" width="13.140625" style="1" customWidth="1"/>
    <col min="2322" max="2322" width="10.28515625" style="1" bestFit="1" customWidth="1"/>
    <col min="2323" max="2323" width="16.28515625" style="1" bestFit="1" customWidth="1"/>
    <col min="2324" max="2324" width="11.28515625" style="1" bestFit="1" customWidth="1"/>
    <col min="2325" max="2557" width="9.140625" style="1"/>
    <col min="2558" max="2558" width="5.140625" style="1" customWidth="1"/>
    <col min="2559" max="2559" width="33.5703125" style="1" customWidth="1"/>
    <col min="2560" max="2560" width="25.85546875" style="1" customWidth="1"/>
    <col min="2561" max="2561" width="0" style="1" hidden="1" customWidth="1"/>
    <col min="2562" max="2562" width="14.85546875" style="1" customWidth="1"/>
    <col min="2563" max="2563" width="13.85546875" style="1" customWidth="1"/>
    <col min="2564" max="2564" width="12.140625" style="1" customWidth="1"/>
    <col min="2565" max="2565" width="13.7109375" style="1" customWidth="1"/>
    <col min="2566" max="2566" width="8.5703125" style="1" customWidth="1"/>
    <col min="2567" max="2567" width="13" style="1" customWidth="1"/>
    <col min="2568" max="2568" width="9" style="1" customWidth="1"/>
    <col min="2569" max="2569" width="6.7109375" style="1" customWidth="1"/>
    <col min="2570" max="2570" width="9" style="1" customWidth="1"/>
    <col min="2571" max="2571" width="6.85546875" style="1" customWidth="1"/>
    <col min="2572" max="2572" width="10.5703125" style="1" customWidth="1"/>
    <col min="2573" max="2573" width="12.28515625" style="1" customWidth="1"/>
    <col min="2574" max="2574" width="12.5703125" style="1" customWidth="1"/>
    <col min="2575" max="2575" width="1.5703125" style="1" customWidth="1"/>
    <col min="2576" max="2576" width="45.140625" style="1" customWidth="1"/>
    <col min="2577" max="2577" width="13.140625" style="1" customWidth="1"/>
    <col min="2578" max="2578" width="10.28515625" style="1" bestFit="1" customWidth="1"/>
    <col min="2579" max="2579" width="16.28515625" style="1" bestFit="1" customWidth="1"/>
    <col min="2580" max="2580" width="11.28515625" style="1" bestFit="1" customWidth="1"/>
    <col min="2581" max="2813" width="9.140625" style="1"/>
    <col min="2814" max="2814" width="5.140625" style="1" customWidth="1"/>
    <col min="2815" max="2815" width="33.5703125" style="1" customWidth="1"/>
    <col min="2816" max="2816" width="25.85546875" style="1" customWidth="1"/>
    <col min="2817" max="2817" width="0" style="1" hidden="1" customWidth="1"/>
    <col min="2818" max="2818" width="14.85546875" style="1" customWidth="1"/>
    <col min="2819" max="2819" width="13.85546875" style="1" customWidth="1"/>
    <col min="2820" max="2820" width="12.140625" style="1" customWidth="1"/>
    <col min="2821" max="2821" width="13.7109375" style="1" customWidth="1"/>
    <col min="2822" max="2822" width="8.5703125" style="1" customWidth="1"/>
    <col min="2823" max="2823" width="13" style="1" customWidth="1"/>
    <col min="2824" max="2824" width="9" style="1" customWidth="1"/>
    <col min="2825" max="2825" width="6.7109375" style="1" customWidth="1"/>
    <col min="2826" max="2826" width="9" style="1" customWidth="1"/>
    <col min="2827" max="2827" width="6.85546875" style="1" customWidth="1"/>
    <col min="2828" max="2828" width="10.5703125" style="1" customWidth="1"/>
    <col min="2829" max="2829" width="12.28515625" style="1" customWidth="1"/>
    <col min="2830" max="2830" width="12.5703125" style="1" customWidth="1"/>
    <col min="2831" max="2831" width="1.5703125" style="1" customWidth="1"/>
    <col min="2832" max="2832" width="45.140625" style="1" customWidth="1"/>
    <col min="2833" max="2833" width="13.140625" style="1" customWidth="1"/>
    <col min="2834" max="2834" width="10.28515625" style="1" bestFit="1" customWidth="1"/>
    <col min="2835" max="2835" width="16.28515625" style="1" bestFit="1" customWidth="1"/>
    <col min="2836" max="2836" width="11.28515625" style="1" bestFit="1" customWidth="1"/>
    <col min="2837" max="3069" width="9.140625" style="1"/>
    <col min="3070" max="3070" width="5.140625" style="1" customWidth="1"/>
    <col min="3071" max="3071" width="33.5703125" style="1" customWidth="1"/>
    <col min="3072" max="3072" width="25.85546875" style="1" customWidth="1"/>
    <col min="3073" max="3073" width="0" style="1" hidden="1" customWidth="1"/>
    <col min="3074" max="3074" width="14.85546875" style="1" customWidth="1"/>
    <col min="3075" max="3075" width="13.85546875" style="1" customWidth="1"/>
    <col min="3076" max="3076" width="12.140625" style="1" customWidth="1"/>
    <col min="3077" max="3077" width="13.7109375" style="1" customWidth="1"/>
    <col min="3078" max="3078" width="8.5703125" style="1" customWidth="1"/>
    <col min="3079" max="3079" width="13" style="1" customWidth="1"/>
    <col min="3080" max="3080" width="9" style="1" customWidth="1"/>
    <col min="3081" max="3081" width="6.7109375" style="1" customWidth="1"/>
    <col min="3082" max="3082" width="9" style="1" customWidth="1"/>
    <col min="3083" max="3083" width="6.85546875" style="1" customWidth="1"/>
    <col min="3084" max="3084" width="10.5703125" style="1" customWidth="1"/>
    <col min="3085" max="3085" width="12.28515625" style="1" customWidth="1"/>
    <col min="3086" max="3086" width="12.5703125" style="1" customWidth="1"/>
    <col min="3087" max="3087" width="1.5703125" style="1" customWidth="1"/>
    <col min="3088" max="3088" width="45.140625" style="1" customWidth="1"/>
    <col min="3089" max="3089" width="13.140625" style="1" customWidth="1"/>
    <col min="3090" max="3090" width="10.28515625" style="1" bestFit="1" customWidth="1"/>
    <col min="3091" max="3091" width="16.28515625" style="1" bestFit="1" customWidth="1"/>
    <col min="3092" max="3092" width="11.28515625" style="1" bestFit="1" customWidth="1"/>
    <col min="3093" max="3325" width="9.140625" style="1"/>
    <col min="3326" max="3326" width="5.140625" style="1" customWidth="1"/>
    <col min="3327" max="3327" width="33.5703125" style="1" customWidth="1"/>
    <col min="3328" max="3328" width="25.85546875" style="1" customWidth="1"/>
    <col min="3329" max="3329" width="0" style="1" hidden="1" customWidth="1"/>
    <col min="3330" max="3330" width="14.85546875" style="1" customWidth="1"/>
    <col min="3331" max="3331" width="13.85546875" style="1" customWidth="1"/>
    <col min="3332" max="3332" width="12.140625" style="1" customWidth="1"/>
    <col min="3333" max="3333" width="13.7109375" style="1" customWidth="1"/>
    <col min="3334" max="3334" width="8.5703125" style="1" customWidth="1"/>
    <col min="3335" max="3335" width="13" style="1" customWidth="1"/>
    <col min="3336" max="3336" width="9" style="1" customWidth="1"/>
    <col min="3337" max="3337" width="6.7109375" style="1" customWidth="1"/>
    <col min="3338" max="3338" width="9" style="1" customWidth="1"/>
    <col min="3339" max="3339" width="6.85546875" style="1" customWidth="1"/>
    <col min="3340" max="3340" width="10.5703125" style="1" customWidth="1"/>
    <col min="3341" max="3341" width="12.28515625" style="1" customWidth="1"/>
    <col min="3342" max="3342" width="12.5703125" style="1" customWidth="1"/>
    <col min="3343" max="3343" width="1.5703125" style="1" customWidth="1"/>
    <col min="3344" max="3344" width="45.140625" style="1" customWidth="1"/>
    <col min="3345" max="3345" width="13.140625" style="1" customWidth="1"/>
    <col min="3346" max="3346" width="10.28515625" style="1" bestFit="1" customWidth="1"/>
    <col min="3347" max="3347" width="16.28515625" style="1" bestFit="1" customWidth="1"/>
    <col min="3348" max="3348" width="11.28515625" style="1" bestFit="1" customWidth="1"/>
    <col min="3349" max="3581" width="9.140625" style="1"/>
    <col min="3582" max="3582" width="5.140625" style="1" customWidth="1"/>
    <col min="3583" max="3583" width="33.5703125" style="1" customWidth="1"/>
    <col min="3584" max="3584" width="25.85546875" style="1" customWidth="1"/>
    <col min="3585" max="3585" width="0" style="1" hidden="1" customWidth="1"/>
    <col min="3586" max="3586" width="14.85546875" style="1" customWidth="1"/>
    <col min="3587" max="3587" width="13.85546875" style="1" customWidth="1"/>
    <col min="3588" max="3588" width="12.140625" style="1" customWidth="1"/>
    <col min="3589" max="3589" width="13.7109375" style="1" customWidth="1"/>
    <col min="3590" max="3590" width="8.5703125" style="1" customWidth="1"/>
    <col min="3591" max="3591" width="13" style="1" customWidth="1"/>
    <col min="3592" max="3592" width="9" style="1" customWidth="1"/>
    <col min="3593" max="3593" width="6.7109375" style="1" customWidth="1"/>
    <col min="3594" max="3594" width="9" style="1" customWidth="1"/>
    <col min="3595" max="3595" width="6.85546875" style="1" customWidth="1"/>
    <col min="3596" max="3596" width="10.5703125" style="1" customWidth="1"/>
    <col min="3597" max="3597" width="12.28515625" style="1" customWidth="1"/>
    <col min="3598" max="3598" width="12.5703125" style="1" customWidth="1"/>
    <col min="3599" max="3599" width="1.5703125" style="1" customWidth="1"/>
    <col min="3600" max="3600" width="45.140625" style="1" customWidth="1"/>
    <col min="3601" max="3601" width="13.140625" style="1" customWidth="1"/>
    <col min="3602" max="3602" width="10.28515625" style="1" bestFit="1" customWidth="1"/>
    <col min="3603" max="3603" width="16.28515625" style="1" bestFit="1" customWidth="1"/>
    <col min="3604" max="3604" width="11.28515625" style="1" bestFit="1" customWidth="1"/>
    <col min="3605" max="3837" width="9.140625" style="1"/>
    <col min="3838" max="3838" width="5.140625" style="1" customWidth="1"/>
    <col min="3839" max="3839" width="33.5703125" style="1" customWidth="1"/>
    <col min="3840" max="3840" width="25.85546875" style="1" customWidth="1"/>
    <col min="3841" max="3841" width="0" style="1" hidden="1" customWidth="1"/>
    <col min="3842" max="3842" width="14.85546875" style="1" customWidth="1"/>
    <col min="3843" max="3843" width="13.85546875" style="1" customWidth="1"/>
    <col min="3844" max="3844" width="12.140625" style="1" customWidth="1"/>
    <col min="3845" max="3845" width="13.7109375" style="1" customWidth="1"/>
    <col min="3846" max="3846" width="8.5703125" style="1" customWidth="1"/>
    <col min="3847" max="3847" width="13" style="1" customWidth="1"/>
    <col min="3848" max="3848" width="9" style="1" customWidth="1"/>
    <col min="3849" max="3849" width="6.7109375" style="1" customWidth="1"/>
    <col min="3850" max="3850" width="9" style="1" customWidth="1"/>
    <col min="3851" max="3851" width="6.85546875" style="1" customWidth="1"/>
    <col min="3852" max="3852" width="10.5703125" style="1" customWidth="1"/>
    <col min="3853" max="3853" width="12.28515625" style="1" customWidth="1"/>
    <col min="3854" max="3854" width="12.5703125" style="1" customWidth="1"/>
    <col min="3855" max="3855" width="1.5703125" style="1" customWidth="1"/>
    <col min="3856" max="3856" width="45.140625" style="1" customWidth="1"/>
    <col min="3857" max="3857" width="13.140625" style="1" customWidth="1"/>
    <col min="3858" max="3858" width="10.28515625" style="1" bestFit="1" customWidth="1"/>
    <col min="3859" max="3859" width="16.28515625" style="1" bestFit="1" customWidth="1"/>
    <col min="3860" max="3860" width="11.28515625" style="1" bestFit="1" customWidth="1"/>
    <col min="3861" max="4093" width="9.140625" style="1"/>
    <col min="4094" max="4094" width="5.140625" style="1" customWidth="1"/>
    <col min="4095" max="4095" width="33.5703125" style="1" customWidth="1"/>
    <col min="4096" max="4096" width="25.85546875" style="1" customWidth="1"/>
    <col min="4097" max="4097" width="0" style="1" hidden="1" customWidth="1"/>
    <col min="4098" max="4098" width="14.85546875" style="1" customWidth="1"/>
    <col min="4099" max="4099" width="13.85546875" style="1" customWidth="1"/>
    <col min="4100" max="4100" width="12.140625" style="1" customWidth="1"/>
    <col min="4101" max="4101" width="13.7109375" style="1" customWidth="1"/>
    <col min="4102" max="4102" width="8.5703125" style="1" customWidth="1"/>
    <col min="4103" max="4103" width="13" style="1" customWidth="1"/>
    <col min="4104" max="4104" width="9" style="1" customWidth="1"/>
    <col min="4105" max="4105" width="6.7109375" style="1" customWidth="1"/>
    <col min="4106" max="4106" width="9" style="1" customWidth="1"/>
    <col min="4107" max="4107" width="6.85546875" style="1" customWidth="1"/>
    <col min="4108" max="4108" width="10.5703125" style="1" customWidth="1"/>
    <col min="4109" max="4109" width="12.28515625" style="1" customWidth="1"/>
    <col min="4110" max="4110" width="12.5703125" style="1" customWidth="1"/>
    <col min="4111" max="4111" width="1.5703125" style="1" customWidth="1"/>
    <col min="4112" max="4112" width="45.140625" style="1" customWidth="1"/>
    <col min="4113" max="4113" width="13.140625" style="1" customWidth="1"/>
    <col min="4114" max="4114" width="10.28515625" style="1" bestFit="1" customWidth="1"/>
    <col min="4115" max="4115" width="16.28515625" style="1" bestFit="1" customWidth="1"/>
    <col min="4116" max="4116" width="11.28515625" style="1" bestFit="1" customWidth="1"/>
    <col min="4117" max="4349" width="9.140625" style="1"/>
    <col min="4350" max="4350" width="5.140625" style="1" customWidth="1"/>
    <col min="4351" max="4351" width="33.5703125" style="1" customWidth="1"/>
    <col min="4352" max="4352" width="25.85546875" style="1" customWidth="1"/>
    <col min="4353" max="4353" width="0" style="1" hidden="1" customWidth="1"/>
    <col min="4354" max="4354" width="14.85546875" style="1" customWidth="1"/>
    <col min="4355" max="4355" width="13.85546875" style="1" customWidth="1"/>
    <col min="4356" max="4356" width="12.140625" style="1" customWidth="1"/>
    <col min="4357" max="4357" width="13.7109375" style="1" customWidth="1"/>
    <col min="4358" max="4358" width="8.5703125" style="1" customWidth="1"/>
    <col min="4359" max="4359" width="13" style="1" customWidth="1"/>
    <col min="4360" max="4360" width="9" style="1" customWidth="1"/>
    <col min="4361" max="4361" width="6.7109375" style="1" customWidth="1"/>
    <col min="4362" max="4362" width="9" style="1" customWidth="1"/>
    <col min="4363" max="4363" width="6.85546875" style="1" customWidth="1"/>
    <col min="4364" max="4364" width="10.5703125" style="1" customWidth="1"/>
    <col min="4365" max="4365" width="12.28515625" style="1" customWidth="1"/>
    <col min="4366" max="4366" width="12.5703125" style="1" customWidth="1"/>
    <col min="4367" max="4367" width="1.5703125" style="1" customWidth="1"/>
    <col min="4368" max="4368" width="45.140625" style="1" customWidth="1"/>
    <col min="4369" max="4369" width="13.140625" style="1" customWidth="1"/>
    <col min="4370" max="4370" width="10.28515625" style="1" bestFit="1" customWidth="1"/>
    <col min="4371" max="4371" width="16.28515625" style="1" bestFit="1" customWidth="1"/>
    <col min="4372" max="4372" width="11.28515625" style="1" bestFit="1" customWidth="1"/>
    <col min="4373" max="4605" width="9.140625" style="1"/>
    <col min="4606" max="4606" width="5.140625" style="1" customWidth="1"/>
    <col min="4607" max="4607" width="33.5703125" style="1" customWidth="1"/>
    <col min="4608" max="4608" width="25.85546875" style="1" customWidth="1"/>
    <col min="4609" max="4609" width="0" style="1" hidden="1" customWidth="1"/>
    <col min="4610" max="4610" width="14.85546875" style="1" customWidth="1"/>
    <col min="4611" max="4611" width="13.85546875" style="1" customWidth="1"/>
    <col min="4612" max="4612" width="12.140625" style="1" customWidth="1"/>
    <col min="4613" max="4613" width="13.7109375" style="1" customWidth="1"/>
    <col min="4614" max="4614" width="8.5703125" style="1" customWidth="1"/>
    <col min="4615" max="4615" width="13" style="1" customWidth="1"/>
    <col min="4616" max="4616" width="9" style="1" customWidth="1"/>
    <col min="4617" max="4617" width="6.7109375" style="1" customWidth="1"/>
    <col min="4618" max="4618" width="9" style="1" customWidth="1"/>
    <col min="4619" max="4619" width="6.85546875" style="1" customWidth="1"/>
    <col min="4620" max="4620" width="10.5703125" style="1" customWidth="1"/>
    <col min="4621" max="4621" width="12.28515625" style="1" customWidth="1"/>
    <col min="4622" max="4622" width="12.5703125" style="1" customWidth="1"/>
    <col min="4623" max="4623" width="1.5703125" style="1" customWidth="1"/>
    <col min="4624" max="4624" width="45.140625" style="1" customWidth="1"/>
    <col min="4625" max="4625" width="13.140625" style="1" customWidth="1"/>
    <col min="4626" max="4626" width="10.28515625" style="1" bestFit="1" customWidth="1"/>
    <col min="4627" max="4627" width="16.28515625" style="1" bestFit="1" customWidth="1"/>
    <col min="4628" max="4628" width="11.28515625" style="1" bestFit="1" customWidth="1"/>
    <col min="4629" max="4861" width="9.140625" style="1"/>
    <col min="4862" max="4862" width="5.140625" style="1" customWidth="1"/>
    <col min="4863" max="4863" width="33.5703125" style="1" customWidth="1"/>
    <col min="4864" max="4864" width="25.85546875" style="1" customWidth="1"/>
    <col min="4865" max="4865" width="0" style="1" hidden="1" customWidth="1"/>
    <col min="4866" max="4866" width="14.85546875" style="1" customWidth="1"/>
    <col min="4867" max="4867" width="13.85546875" style="1" customWidth="1"/>
    <col min="4868" max="4868" width="12.140625" style="1" customWidth="1"/>
    <col min="4869" max="4869" width="13.7109375" style="1" customWidth="1"/>
    <col min="4870" max="4870" width="8.5703125" style="1" customWidth="1"/>
    <col min="4871" max="4871" width="13" style="1" customWidth="1"/>
    <col min="4872" max="4872" width="9" style="1" customWidth="1"/>
    <col min="4873" max="4873" width="6.7109375" style="1" customWidth="1"/>
    <col min="4874" max="4874" width="9" style="1" customWidth="1"/>
    <col min="4875" max="4875" width="6.85546875" style="1" customWidth="1"/>
    <col min="4876" max="4876" width="10.5703125" style="1" customWidth="1"/>
    <col min="4877" max="4877" width="12.28515625" style="1" customWidth="1"/>
    <col min="4878" max="4878" width="12.5703125" style="1" customWidth="1"/>
    <col min="4879" max="4879" width="1.5703125" style="1" customWidth="1"/>
    <col min="4880" max="4880" width="45.140625" style="1" customWidth="1"/>
    <col min="4881" max="4881" width="13.140625" style="1" customWidth="1"/>
    <col min="4882" max="4882" width="10.28515625" style="1" bestFit="1" customWidth="1"/>
    <col min="4883" max="4883" width="16.28515625" style="1" bestFit="1" customWidth="1"/>
    <col min="4884" max="4884" width="11.28515625" style="1" bestFit="1" customWidth="1"/>
    <col min="4885" max="5117" width="9.140625" style="1"/>
    <col min="5118" max="5118" width="5.140625" style="1" customWidth="1"/>
    <col min="5119" max="5119" width="33.5703125" style="1" customWidth="1"/>
    <col min="5120" max="5120" width="25.85546875" style="1" customWidth="1"/>
    <col min="5121" max="5121" width="0" style="1" hidden="1" customWidth="1"/>
    <col min="5122" max="5122" width="14.85546875" style="1" customWidth="1"/>
    <col min="5123" max="5123" width="13.85546875" style="1" customWidth="1"/>
    <col min="5124" max="5124" width="12.140625" style="1" customWidth="1"/>
    <col min="5125" max="5125" width="13.7109375" style="1" customWidth="1"/>
    <col min="5126" max="5126" width="8.5703125" style="1" customWidth="1"/>
    <col min="5127" max="5127" width="13" style="1" customWidth="1"/>
    <col min="5128" max="5128" width="9" style="1" customWidth="1"/>
    <col min="5129" max="5129" width="6.7109375" style="1" customWidth="1"/>
    <col min="5130" max="5130" width="9" style="1" customWidth="1"/>
    <col min="5131" max="5131" width="6.85546875" style="1" customWidth="1"/>
    <col min="5132" max="5132" width="10.5703125" style="1" customWidth="1"/>
    <col min="5133" max="5133" width="12.28515625" style="1" customWidth="1"/>
    <col min="5134" max="5134" width="12.5703125" style="1" customWidth="1"/>
    <col min="5135" max="5135" width="1.5703125" style="1" customWidth="1"/>
    <col min="5136" max="5136" width="45.140625" style="1" customWidth="1"/>
    <col min="5137" max="5137" width="13.140625" style="1" customWidth="1"/>
    <col min="5138" max="5138" width="10.28515625" style="1" bestFit="1" customWidth="1"/>
    <col min="5139" max="5139" width="16.28515625" style="1" bestFit="1" customWidth="1"/>
    <col min="5140" max="5140" width="11.28515625" style="1" bestFit="1" customWidth="1"/>
    <col min="5141" max="5373" width="9.140625" style="1"/>
    <col min="5374" max="5374" width="5.140625" style="1" customWidth="1"/>
    <col min="5375" max="5375" width="33.5703125" style="1" customWidth="1"/>
    <col min="5376" max="5376" width="25.85546875" style="1" customWidth="1"/>
    <col min="5377" max="5377" width="0" style="1" hidden="1" customWidth="1"/>
    <col min="5378" max="5378" width="14.85546875" style="1" customWidth="1"/>
    <col min="5379" max="5379" width="13.85546875" style="1" customWidth="1"/>
    <col min="5380" max="5380" width="12.140625" style="1" customWidth="1"/>
    <col min="5381" max="5381" width="13.7109375" style="1" customWidth="1"/>
    <col min="5382" max="5382" width="8.5703125" style="1" customWidth="1"/>
    <col min="5383" max="5383" width="13" style="1" customWidth="1"/>
    <col min="5384" max="5384" width="9" style="1" customWidth="1"/>
    <col min="5385" max="5385" width="6.7109375" style="1" customWidth="1"/>
    <col min="5386" max="5386" width="9" style="1" customWidth="1"/>
    <col min="5387" max="5387" width="6.85546875" style="1" customWidth="1"/>
    <col min="5388" max="5388" width="10.5703125" style="1" customWidth="1"/>
    <col min="5389" max="5389" width="12.28515625" style="1" customWidth="1"/>
    <col min="5390" max="5390" width="12.5703125" style="1" customWidth="1"/>
    <col min="5391" max="5391" width="1.5703125" style="1" customWidth="1"/>
    <col min="5392" max="5392" width="45.140625" style="1" customWidth="1"/>
    <col min="5393" max="5393" width="13.140625" style="1" customWidth="1"/>
    <col min="5394" max="5394" width="10.28515625" style="1" bestFit="1" customWidth="1"/>
    <col min="5395" max="5395" width="16.28515625" style="1" bestFit="1" customWidth="1"/>
    <col min="5396" max="5396" width="11.28515625" style="1" bestFit="1" customWidth="1"/>
    <col min="5397" max="5629" width="9.140625" style="1"/>
    <col min="5630" max="5630" width="5.140625" style="1" customWidth="1"/>
    <col min="5631" max="5631" width="33.5703125" style="1" customWidth="1"/>
    <col min="5632" max="5632" width="25.85546875" style="1" customWidth="1"/>
    <col min="5633" max="5633" width="0" style="1" hidden="1" customWidth="1"/>
    <col min="5634" max="5634" width="14.85546875" style="1" customWidth="1"/>
    <col min="5635" max="5635" width="13.85546875" style="1" customWidth="1"/>
    <col min="5636" max="5636" width="12.140625" style="1" customWidth="1"/>
    <col min="5637" max="5637" width="13.7109375" style="1" customWidth="1"/>
    <col min="5638" max="5638" width="8.5703125" style="1" customWidth="1"/>
    <col min="5639" max="5639" width="13" style="1" customWidth="1"/>
    <col min="5640" max="5640" width="9" style="1" customWidth="1"/>
    <col min="5641" max="5641" width="6.7109375" style="1" customWidth="1"/>
    <col min="5642" max="5642" width="9" style="1" customWidth="1"/>
    <col min="5643" max="5643" width="6.85546875" style="1" customWidth="1"/>
    <col min="5644" max="5644" width="10.5703125" style="1" customWidth="1"/>
    <col min="5645" max="5645" width="12.28515625" style="1" customWidth="1"/>
    <col min="5646" max="5646" width="12.5703125" style="1" customWidth="1"/>
    <col min="5647" max="5647" width="1.5703125" style="1" customWidth="1"/>
    <col min="5648" max="5648" width="45.140625" style="1" customWidth="1"/>
    <col min="5649" max="5649" width="13.140625" style="1" customWidth="1"/>
    <col min="5650" max="5650" width="10.28515625" style="1" bestFit="1" customWidth="1"/>
    <col min="5651" max="5651" width="16.28515625" style="1" bestFit="1" customWidth="1"/>
    <col min="5652" max="5652" width="11.28515625" style="1" bestFit="1" customWidth="1"/>
    <col min="5653" max="5885" width="9.140625" style="1"/>
    <col min="5886" max="5886" width="5.140625" style="1" customWidth="1"/>
    <col min="5887" max="5887" width="33.5703125" style="1" customWidth="1"/>
    <col min="5888" max="5888" width="25.85546875" style="1" customWidth="1"/>
    <col min="5889" max="5889" width="0" style="1" hidden="1" customWidth="1"/>
    <col min="5890" max="5890" width="14.85546875" style="1" customWidth="1"/>
    <col min="5891" max="5891" width="13.85546875" style="1" customWidth="1"/>
    <col min="5892" max="5892" width="12.140625" style="1" customWidth="1"/>
    <col min="5893" max="5893" width="13.7109375" style="1" customWidth="1"/>
    <col min="5894" max="5894" width="8.5703125" style="1" customWidth="1"/>
    <col min="5895" max="5895" width="13" style="1" customWidth="1"/>
    <col min="5896" max="5896" width="9" style="1" customWidth="1"/>
    <col min="5897" max="5897" width="6.7109375" style="1" customWidth="1"/>
    <col min="5898" max="5898" width="9" style="1" customWidth="1"/>
    <col min="5899" max="5899" width="6.85546875" style="1" customWidth="1"/>
    <col min="5900" max="5900" width="10.5703125" style="1" customWidth="1"/>
    <col min="5901" max="5901" width="12.28515625" style="1" customWidth="1"/>
    <col min="5902" max="5902" width="12.5703125" style="1" customWidth="1"/>
    <col min="5903" max="5903" width="1.5703125" style="1" customWidth="1"/>
    <col min="5904" max="5904" width="45.140625" style="1" customWidth="1"/>
    <col min="5905" max="5905" width="13.140625" style="1" customWidth="1"/>
    <col min="5906" max="5906" width="10.28515625" style="1" bestFit="1" customWidth="1"/>
    <col min="5907" max="5907" width="16.28515625" style="1" bestFit="1" customWidth="1"/>
    <col min="5908" max="5908" width="11.28515625" style="1" bestFit="1" customWidth="1"/>
    <col min="5909" max="6141" width="9.140625" style="1"/>
    <col min="6142" max="6142" width="5.140625" style="1" customWidth="1"/>
    <col min="6143" max="6143" width="33.5703125" style="1" customWidth="1"/>
    <col min="6144" max="6144" width="25.85546875" style="1" customWidth="1"/>
    <col min="6145" max="6145" width="0" style="1" hidden="1" customWidth="1"/>
    <col min="6146" max="6146" width="14.85546875" style="1" customWidth="1"/>
    <col min="6147" max="6147" width="13.85546875" style="1" customWidth="1"/>
    <col min="6148" max="6148" width="12.140625" style="1" customWidth="1"/>
    <col min="6149" max="6149" width="13.7109375" style="1" customWidth="1"/>
    <col min="6150" max="6150" width="8.5703125" style="1" customWidth="1"/>
    <col min="6151" max="6151" width="13" style="1" customWidth="1"/>
    <col min="6152" max="6152" width="9" style="1" customWidth="1"/>
    <col min="6153" max="6153" width="6.7109375" style="1" customWidth="1"/>
    <col min="6154" max="6154" width="9" style="1" customWidth="1"/>
    <col min="6155" max="6155" width="6.85546875" style="1" customWidth="1"/>
    <col min="6156" max="6156" width="10.5703125" style="1" customWidth="1"/>
    <col min="6157" max="6157" width="12.28515625" style="1" customWidth="1"/>
    <col min="6158" max="6158" width="12.5703125" style="1" customWidth="1"/>
    <col min="6159" max="6159" width="1.5703125" style="1" customWidth="1"/>
    <col min="6160" max="6160" width="45.140625" style="1" customWidth="1"/>
    <col min="6161" max="6161" width="13.140625" style="1" customWidth="1"/>
    <col min="6162" max="6162" width="10.28515625" style="1" bestFit="1" customWidth="1"/>
    <col min="6163" max="6163" width="16.28515625" style="1" bestFit="1" customWidth="1"/>
    <col min="6164" max="6164" width="11.28515625" style="1" bestFit="1" customWidth="1"/>
    <col min="6165" max="6397" width="9.140625" style="1"/>
    <col min="6398" max="6398" width="5.140625" style="1" customWidth="1"/>
    <col min="6399" max="6399" width="33.5703125" style="1" customWidth="1"/>
    <col min="6400" max="6400" width="25.85546875" style="1" customWidth="1"/>
    <col min="6401" max="6401" width="0" style="1" hidden="1" customWidth="1"/>
    <col min="6402" max="6402" width="14.85546875" style="1" customWidth="1"/>
    <col min="6403" max="6403" width="13.85546875" style="1" customWidth="1"/>
    <col min="6404" max="6404" width="12.140625" style="1" customWidth="1"/>
    <col min="6405" max="6405" width="13.7109375" style="1" customWidth="1"/>
    <col min="6406" max="6406" width="8.5703125" style="1" customWidth="1"/>
    <col min="6407" max="6407" width="13" style="1" customWidth="1"/>
    <col min="6408" max="6408" width="9" style="1" customWidth="1"/>
    <col min="6409" max="6409" width="6.7109375" style="1" customWidth="1"/>
    <col min="6410" max="6410" width="9" style="1" customWidth="1"/>
    <col min="6411" max="6411" width="6.85546875" style="1" customWidth="1"/>
    <col min="6412" max="6412" width="10.5703125" style="1" customWidth="1"/>
    <col min="6413" max="6413" width="12.28515625" style="1" customWidth="1"/>
    <col min="6414" max="6414" width="12.5703125" style="1" customWidth="1"/>
    <col min="6415" max="6415" width="1.5703125" style="1" customWidth="1"/>
    <col min="6416" max="6416" width="45.140625" style="1" customWidth="1"/>
    <col min="6417" max="6417" width="13.140625" style="1" customWidth="1"/>
    <col min="6418" max="6418" width="10.28515625" style="1" bestFit="1" customWidth="1"/>
    <col min="6419" max="6419" width="16.28515625" style="1" bestFit="1" customWidth="1"/>
    <col min="6420" max="6420" width="11.28515625" style="1" bestFit="1" customWidth="1"/>
    <col min="6421" max="6653" width="9.140625" style="1"/>
    <col min="6654" max="6654" width="5.140625" style="1" customWidth="1"/>
    <col min="6655" max="6655" width="33.5703125" style="1" customWidth="1"/>
    <col min="6656" max="6656" width="25.85546875" style="1" customWidth="1"/>
    <col min="6657" max="6657" width="0" style="1" hidden="1" customWidth="1"/>
    <col min="6658" max="6658" width="14.85546875" style="1" customWidth="1"/>
    <col min="6659" max="6659" width="13.85546875" style="1" customWidth="1"/>
    <col min="6660" max="6660" width="12.140625" style="1" customWidth="1"/>
    <col min="6661" max="6661" width="13.7109375" style="1" customWidth="1"/>
    <col min="6662" max="6662" width="8.5703125" style="1" customWidth="1"/>
    <col min="6663" max="6663" width="13" style="1" customWidth="1"/>
    <col min="6664" max="6664" width="9" style="1" customWidth="1"/>
    <col min="6665" max="6665" width="6.7109375" style="1" customWidth="1"/>
    <col min="6666" max="6666" width="9" style="1" customWidth="1"/>
    <col min="6667" max="6667" width="6.85546875" style="1" customWidth="1"/>
    <col min="6668" max="6668" width="10.5703125" style="1" customWidth="1"/>
    <col min="6669" max="6669" width="12.28515625" style="1" customWidth="1"/>
    <col min="6670" max="6670" width="12.5703125" style="1" customWidth="1"/>
    <col min="6671" max="6671" width="1.5703125" style="1" customWidth="1"/>
    <col min="6672" max="6672" width="45.140625" style="1" customWidth="1"/>
    <col min="6673" max="6673" width="13.140625" style="1" customWidth="1"/>
    <col min="6674" max="6674" width="10.28515625" style="1" bestFit="1" customWidth="1"/>
    <col min="6675" max="6675" width="16.28515625" style="1" bestFit="1" customWidth="1"/>
    <col min="6676" max="6676" width="11.28515625" style="1" bestFit="1" customWidth="1"/>
    <col min="6677" max="6909" width="9.140625" style="1"/>
    <col min="6910" max="6910" width="5.140625" style="1" customWidth="1"/>
    <col min="6911" max="6911" width="33.5703125" style="1" customWidth="1"/>
    <col min="6912" max="6912" width="25.85546875" style="1" customWidth="1"/>
    <col min="6913" max="6913" width="0" style="1" hidden="1" customWidth="1"/>
    <col min="6914" max="6914" width="14.85546875" style="1" customWidth="1"/>
    <col min="6915" max="6915" width="13.85546875" style="1" customWidth="1"/>
    <col min="6916" max="6916" width="12.140625" style="1" customWidth="1"/>
    <col min="6917" max="6917" width="13.7109375" style="1" customWidth="1"/>
    <col min="6918" max="6918" width="8.5703125" style="1" customWidth="1"/>
    <col min="6919" max="6919" width="13" style="1" customWidth="1"/>
    <col min="6920" max="6920" width="9" style="1" customWidth="1"/>
    <col min="6921" max="6921" width="6.7109375" style="1" customWidth="1"/>
    <col min="6922" max="6922" width="9" style="1" customWidth="1"/>
    <col min="6923" max="6923" width="6.85546875" style="1" customWidth="1"/>
    <col min="6924" max="6924" width="10.5703125" style="1" customWidth="1"/>
    <col min="6925" max="6925" width="12.28515625" style="1" customWidth="1"/>
    <col min="6926" max="6926" width="12.5703125" style="1" customWidth="1"/>
    <col min="6927" max="6927" width="1.5703125" style="1" customWidth="1"/>
    <col min="6928" max="6928" width="45.140625" style="1" customWidth="1"/>
    <col min="6929" max="6929" width="13.140625" style="1" customWidth="1"/>
    <col min="6930" max="6930" width="10.28515625" style="1" bestFit="1" customWidth="1"/>
    <col min="6931" max="6931" width="16.28515625" style="1" bestFit="1" customWidth="1"/>
    <col min="6932" max="6932" width="11.28515625" style="1" bestFit="1" customWidth="1"/>
    <col min="6933" max="7165" width="9.140625" style="1"/>
    <col min="7166" max="7166" width="5.140625" style="1" customWidth="1"/>
    <col min="7167" max="7167" width="33.5703125" style="1" customWidth="1"/>
    <col min="7168" max="7168" width="25.85546875" style="1" customWidth="1"/>
    <col min="7169" max="7169" width="0" style="1" hidden="1" customWidth="1"/>
    <col min="7170" max="7170" width="14.85546875" style="1" customWidth="1"/>
    <col min="7171" max="7171" width="13.85546875" style="1" customWidth="1"/>
    <col min="7172" max="7172" width="12.140625" style="1" customWidth="1"/>
    <col min="7173" max="7173" width="13.7109375" style="1" customWidth="1"/>
    <col min="7174" max="7174" width="8.5703125" style="1" customWidth="1"/>
    <col min="7175" max="7175" width="13" style="1" customWidth="1"/>
    <col min="7176" max="7176" width="9" style="1" customWidth="1"/>
    <col min="7177" max="7177" width="6.7109375" style="1" customWidth="1"/>
    <col min="7178" max="7178" width="9" style="1" customWidth="1"/>
    <col min="7179" max="7179" width="6.85546875" style="1" customWidth="1"/>
    <col min="7180" max="7180" width="10.5703125" style="1" customWidth="1"/>
    <col min="7181" max="7181" width="12.28515625" style="1" customWidth="1"/>
    <col min="7182" max="7182" width="12.5703125" style="1" customWidth="1"/>
    <col min="7183" max="7183" width="1.5703125" style="1" customWidth="1"/>
    <col min="7184" max="7184" width="45.140625" style="1" customWidth="1"/>
    <col min="7185" max="7185" width="13.140625" style="1" customWidth="1"/>
    <col min="7186" max="7186" width="10.28515625" style="1" bestFit="1" customWidth="1"/>
    <col min="7187" max="7187" width="16.28515625" style="1" bestFit="1" customWidth="1"/>
    <col min="7188" max="7188" width="11.28515625" style="1" bestFit="1" customWidth="1"/>
    <col min="7189" max="7421" width="9.140625" style="1"/>
    <col min="7422" max="7422" width="5.140625" style="1" customWidth="1"/>
    <col min="7423" max="7423" width="33.5703125" style="1" customWidth="1"/>
    <col min="7424" max="7424" width="25.85546875" style="1" customWidth="1"/>
    <col min="7425" max="7425" width="0" style="1" hidden="1" customWidth="1"/>
    <col min="7426" max="7426" width="14.85546875" style="1" customWidth="1"/>
    <col min="7427" max="7427" width="13.85546875" style="1" customWidth="1"/>
    <col min="7428" max="7428" width="12.140625" style="1" customWidth="1"/>
    <col min="7429" max="7429" width="13.7109375" style="1" customWidth="1"/>
    <col min="7430" max="7430" width="8.5703125" style="1" customWidth="1"/>
    <col min="7431" max="7431" width="13" style="1" customWidth="1"/>
    <col min="7432" max="7432" width="9" style="1" customWidth="1"/>
    <col min="7433" max="7433" width="6.7109375" style="1" customWidth="1"/>
    <col min="7434" max="7434" width="9" style="1" customWidth="1"/>
    <col min="7435" max="7435" width="6.85546875" style="1" customWidth="1"/>
    <col min="7436" max="7436" width="10.5703125" style="1" customWidth="1"/>
    <col min="7437" max="7437" width="12.28515625" style="1" customWidth="1"/>
    <col min="7438" max="7438" width="12.5703125" style="1" customWidth="1"/>
    <col min="7439" max="7439" width="1.5703125" style="1" customWidth="1"/>
    <col min="7440" max="7440" width="45.140625" style="1" customWidth="1"/>
    <col min="7441" max="7441" width="13.140625" style="1" customWidth="1"/>
    <col min="7442" max="7442" width="10.28515625" style="1" bestFit="1" customWidth="1"/>
    <col min="7443" max="7443" width="16.28515625" style="1" bestFit="1" customWidth="1"/>
    <col min="7444" max="7444" width="11.28515625" style="1" bestFit="1" customWidth="1"/>
    <col min="7445" max="7677" width="9.140625" style="1"/>
    <col min="7678" max="7678" width="5.140625" style="1" customWidth="1"/>
    <col min="7679" max="7679" width="33.5703125" style="1" customWidth="1"/>
    <col min="7680" max="7680" width="25.85546875" style="1" customWidth="1"/>
    <col min="7681" max="7681" width="0" style="1" hidden="1" customWidth="1"/>
    <col min="7682" max="7682" width="14.85546875" style="1" customWidth="1"/>
    <col min="7683" max="7683" width="13.85546875" style="1" customWidth="1"/>
    <col min="7684" max="7684" width="12.140625" style="1" customWidth="1"/>
    <col min="7685" max="7685" width="13.7109375" style="1" customWidth="1"/>
    <col min="7686" max="7686" width="8.5703125" style="1" customWidth="1"/>
    <col min="7687" max="7687" width="13" style="1" customWidth="1"/>
    <col min="7688" max="7688" width="9" style="1" customWidth="1"/>
    <col min="7689" max="7689" width="6.7109375" style="1" customWidth="1"/>
    <col min="7690" max="7690" width="9" style="1" customWidth="1"/>
    <col min="7691" max="7691" width="6.85546875" style="1" customWidth="1"/>
    <col min="7692" max="7692" width="10.5703125" style="1" customWidth="1"/>
    <col min="7693" max="7693" width="12.28515625" style="1" customWidth="1"/>
    <col min="7694" max="7694" width="12.5703125" style="1" customWidth="1"/>
    <col min="7695" max="7695" width="1.5703125" style="1" customWidth="1"/>
    <col min="7696" max="7696" width="45.140625" style="1" customWidth="1"/>
    <col min="7697" max="7697" width="13.140625" style="1" customWidth="1"/>
    <col min="7698" max="7698" width="10.28515625" style="1" bestFit="1" customWidth="1"/>
    <col min="7699" max="7699" width="16.28515625" style="1" bestFit="1" customWidth="1"/>
    <col min="7700" max="7700" width="11.28515625" style="1" bestFit="1" customWidth="1"/>
    <col min="7701" max="7933" width="9.140625" style="1"/>
    <col min="7934" max="7934" width="5.140625" style="1" customWidth="1"/>
    <col min="7935" max="7935" width="33.5703125" style="1" customWidth="1"/>
    <col min="7936" max="7936" width="25.85546875" style="1" customWidth="1"/>
    <col min="7937" max="7937" width="0" style="1" hidden="1" customWidth="1"/>
    <col min="7938" max="7938" width="14.85546875" style="1" customWidth="1"/>
    <col min="7939" max="7939" width="13.85546875" style="1" customWidth="1"/>
    <col min="7940" max="7940" width="12.140625" style="1" customWidth="1"/>
    <col min="7941" max="7941" width="13.7109375" style="1" customWidth="1"/>
    <col min="7942" max="7942" width="8.5703125" style="1" customWidth="1"/>
    <col min="7943" max="7943" width="13" style="1" customWidth="1"/>
    <col min="7944" max="7944" width="9" style="1" customWidth="1"/>
    <col min="7945" max="7945" width="6.7109375" style="1" customWidth="1"/>
    <col min="7946" max="7946" width="9" style="1" customWidth="1"/>
    <col min="7947" max="7947" width="6.85546875" style="1" customWidth="1"/>
    <col min="7948" max="7948" width="10.5703125" style="1" customWidth="1"/>
    <col min="7949" max="7949" width="12.28515625" style="1" customWidth="1"/>
    <col min="7950" max="7950" width="12.5703125" style="1" customWidth="1"/>
    <col min="7951" max="7951" width="1.5703125" style="1" customWidth="1"/>
    <col min="7952" max="7952" width="45.140625" style="1" customWidth="1"/>
    <col min="7953" max="7953" width="13.140625" style="1" customWidth="1"/>
    <col min="7954" max="7954" width="10.28515625" style="1" bestFit="1" customWidth="1"/>
    <col min="7955" max="7955" width="16.28515625" style="1" bestFit="1" customWidth="1"/>
    <col min="7956" max="7956" width="11.28515625" style="1" bestFit="1" customWidth="1"/>
    <col min="7957" max="8189" width="9.140625" style="1"/>
    <col min="8190" max="8190" width="5.140625" style="1" customWidth="1"/>
    <col min="8191" max="8191" width="33.5703125" style="1" customWidth="1"/>
    <col min="8192" max="8192" width="25.85546875" style="1" customWidth="1"/>
    <col min="8193" max="8193" width="0" style="1" hidden="1" customWidth="1"/>
    <col min="8194" max="8194" width="14.85546875" style="1" customWidth="1"/>
    <col min="8195" max="8195" width="13.85546875" style="1" customWidth="1"/>
    <col min="8196" max="8196" width="12.140625" style="1" customWidth="1"/>
    <col min="8197" max="8197" width="13.7109375" style="1" customWidth="1"/>
    <col min="8198" max="8198" width="8.5703125" style="1" customWidth="1"/>
    <col min="8199" max="8199" width="13" style="1" customWidth="1"/>
    <col min="8200" max="8200" width="9" style="1" customWidth="1"/>
    <col min="8201" max="8201" width="6.7109375" style="1" customWidth="1"/>
    <col min="8202" max="8202" width="9" style="1" customWidth="1"/>
    <col min="8203" max="8203" width="6.85546875" style="1" customWidth="1"/>
    <col min="8204" max="8204" width="10.5703125" style="1" customWidth="1"/>
    <col min="8205" max="8205" width="12.28515625" style="1" customWidth="1"/>
    <col min="8206" max="8206" width="12.5703125" style="1" customWidth="1"/>
    <col min="8207" max="8207" width="1.5703125" style="1" customWidth="1"/>
    <col min="8208" max="8208" width="45.140625" style="1" customWidth="1"/>
    <col min="8209" max="8209" width="13.140625" style="1" customWidth="1"/>
    <col min="8210" max="8210" width="10.28515625" style="1" bestFit="1" customWidth="1"/>
    <col min="8211" max="8211" width="16.28515625" style="1" bestFit="1" customWidth="1"/>
    <col min="8212" max="8212" width="11.28515625" style="1" bestFit="1" customWidth="1"/>
    <col min="8213" max="8445" width="9.140625" style="1"/>
    <col min="8446" max="8446" width="5.140625" style="1" customWidth="1"/>
    <col min="8447" max="8447" width="33.5703125" style="1" customWidth="1"/>
    <col min="8448" max="8448" width="25.85546875" style="1" customWidth="1"/>
    <col min="8449" max="8449" width="0" style="1" hidden="1" customWidth="1"/>
    <col min="8450" max="8450" width="14.85546875" style="1" customWidth="1"/>
    <col min="8451" max="8451" width="13.85546875" style="1" customWidth="1"/>
    <col min="8452" max="8452" width="12.140625" style="1" customWidth="1"/>
    <col min="8453" max="8453" width="13.7109375" style="1" customWidth="1"/>
    <col min="8454" max="8454" width="8.5703125" style="1" customWidth="1"/>
    <col min="8455" max="8455" width="13" style="1" customWidth="1"/>
    <col min="8456" max="8456" width="9" style="1" customWidth="1"/>
    <col min="8457" max="8457" width="6.7109375" style="1" customWidth="1"/>
    <col min="8458" max="8458" width="9" style="1" customWidth="1"/>
    <col min="8459" max="8459" width="6.85546875" style="1" customWidth="1"/>
    <col min="8460" max="8460" width="10.5703125" style="1" customWidth="1"/>
    <col min="8461" max="8461" width="12.28515625" style="1" customWidth="1"/>
    <col min="8462" max="8462" width="12.5703125" style="1" customWidth="1"/>
    <col min="8463" max="8463" width="1.5703125" style="1" customWidth="1"/>
    <col min="8464" max="8464" width="45.140625" style="1" customWidth="1"/>
    <col min="8465" max="8465" width="13.140625" style="1" customWidth="1"/>
    <col min="8466" max="8466" width="10.28515625" style="1" bestFit="1" customWidth="1"/>
    <col min="8467" max="8467" width="16.28515625" style="1" bestFit="1" customWidth="1"/>
    <col min="8468" max="8468" width="11.28515625" style="1" bestFit="1" customWidth="1"/>
    <col min="8469" max="8701" width="9.140625" style="1"/>
    <col min="8702" max="8702" width="5.140625" style="1" customWidth="1"/>
    <col min="8703" max="8703" width="33.5703125" style="1" customWidth="1"/>
    <col min="8704" max="8704" width="25.85546875" style="1" customWidth="1"/>
    <col min="8705" max="8705" width="0" style="1" hidden="1" customWidth="1"/>
    <col min="8706" max="8706" width="14.85546875" style="1" customWidth="1"/>
    <col min="8707" max="8707" width="13.85546875" style="1" customWidth="1"/>
    <col min="8708" max="8708" width="12.140625" style="1" customWidth="1"/>
    <col min="8709" max="8709" width="13.7109375" style="1" customWidth="1"/>
    <col min="8710" max="8710" width="8.5703125" style="1" customWidth="1"/>
    <col min="8711" max="8711" width="13" style="1" customWidth="1"/>
    <col min="8712" max="8712" width="9" style="1" customWidth="1"/>
    <col min="8713" max="8713" width="6.7109375" style="1" customWidth="1"/>
    <col min="8714" max="8714" width="9" style="1" customWidth="1"/>
    <col min="8715" max="8715" width="6.85546875" style="1" customWidth="1"/>
    <col min="8716" max="8716" width="10.5703125" style="1" customWidth="1"/>
    <col min="8717" max="8717" width="12.28515625" style="1" customWidth="1"/>
    <col min="8718" max="8718" width="12.5703125" style="1" customWidth="1"/>
    <col min="8719" max="8719" width="1.5703125" style="1" customWidth="1"/>
    <col min="8720" max="8720" width="45.140625" style="1" customWidth="1"/>
    <col min="8721" max="8721" width="13.140625" style="1" customWidth="1"/>
    <col min="8722" max="8722" width="10.28515625" style="1" bestFit="1" customWidth="1"/>
    <col min="8723" max="8723" width="16.28515625" style="1" bestFit="1" customWidth="1"/>
    <col min="8724" max="8724" width="11.28515625" style="1" bestFit="1" customWidth="1"/>
    <col min="8725" max="8957" width="9.140625" style="1"/>
    <col min="8958" max="8958" width="5.140625" style="1" customWidth="1"/>
    <col min="8959" max="8959" width="33.5703125" style="1" customWidth="1"/>
    <col min="8960" max="8960" width="25.85546875" style="1" customWidth="1"/>
    <col min="8961" max="8961" width="0" style="1" hidden="1" customWidth="1"/>
    <col min="8962" max="8962" width="14.85546875" style="1" customWidth="1"/>
    <col min="8963" max="8963" width="13.85546875" style="1" customWidth="1"/>
    <col min="8964" max="8964" width="12.140625" style="1" customWidth="1"/>
    <col min="8965" max="8965" width="13.7109375" style="1" customWidth="1"/>
    <col min="8966" max="8966" width="8.5703125" style="1" customWidth="1"/>
    <col min="8967" max="8967" width="13" style="1" customWidth="1"/>
    <col min="8968" max="8968" width="9" style="1" customWidth="1"/>
    <col min="8969" max="8969" width="6.7109375" style="1" customWidth="1"/>
    <col min="8970" max="8970" width="9" style="1" customWidth="1"/>
    <col min="8971" max="8971" width="6.85546875" style="1" customWidth="1"/>
    <col min="8972" max="8972" width="10.5703125" style="1" customWidth="1"/>
    <col min="8973" max="8973" width="12.28515625" style="1" customWidth="1"/>
    <col min="8974" max="8974" width="12.5703125" style="1" customWidth="1"/>
    <col min="8975" max="8975" width="1.5703125" style="1" customWidth="1"/>
    <col min="8976" max="8976" width="45.140625" style="1" customWidth="1"/>
    <col min="8977" max="8977" width="13.140625" style="1" customWidth="1"/>
    <col min="8978" max="8978" width="10.28515625" style="1" bestFit="1" customWidth="1"/>
    <col min="8979" max="8979" width="16.28515625" style="1" bestFit="1" customWidth="1"/>
    <col min="8980" max="8980" width="11.28515625" style="1" bestFit="1" customWidth="1"/>
    <col min="8981" max="9213" width="9.140625" style="1"/>
    <col min="9214" max="9214" width="5.140625" style="1" customWidth="1"/>
    <col min="9215" max="9215" width="33.5703125" style="1" customWidth="1"/>
    <col min="9216" max="9216" width="25.85546875" style="1" customWidth="1"/>
    <col min="9217" max="9217" width="0" style="1" hidden="1" customWidth="1"/>
    <col min="9218" max="9218" width="14.85546875" style="1" customWidth="1"/>
    <col min="9219" max="9219" width="13.85546875" style="1" customWidth="1"/>
    <col min="9220" max="9220" width="12.140625" style="1" customWidth="1"/>
    <col min="9221" max="9221" width="13.7109375" style="1" customWidth="1"/>
    <col min="9222" max="9222" width="8.5703125" style="1" customWidth="1"/>
    <col min="9223" max="9223" width="13" style="1" customWidth="1"/>
    <col min="9224" max="9224" width="9" style="1" customWidth="1"/>
    <col min="9225" max="9225" width="6.7109375" style="1" customWidth="1"/>
    <col min="9226" max="9226" width="9" style="1" customWidth="1"/>
    <col min="9227" max="9227" width="6.85546875" style="1" customWidth="1"/>
    <col min="9228" max="9228" width="10.5703125" style="1" customWidth="1"/>
    <col min="9229" max="9229" width="12.28515625" style="1" customWidth="1"/>
    <col min="9230" max="9230" width="12.5703125" style="1" customWidth="1"/>
    <col min="9231" max="9231" width="1.5703125" style="1" customWidth="1"/>
    <col min="9232" max="9232" width="45.140625" style="1" customWidth="1"/>
    <col min="9233" max="9233" width="13.140625" style="1" customWidth="1"/>
    <col min="9234" max="9234" width="10.28515625" style="1" bestFit="1" customWidth="1"/>
    <col min="9235" max="9235" width="16.28515625" style="1" bestFit="1" customWidth="1"/>
    <col min="9236" max="9236" width="11.28515625" style="1" bestFit="1" customWidth="1"/>
    <col min="9237" max="9469" width="9.140625" style="1"/>
    <col min="9470" max="9470" width="5.140625" style="1" customWidth="1"/>
    <col min="9471" max="9471" width="33.5703125" style="1" customWidth="1"/>
    <col min="9472" max="9472" width="25.85546875" style="1" customWidth="1"/>
    <col min="9473" max="9473" width="0" style="1" hidden="1" customWidth="1"/>
    <col min="9474" max="9474" width="14.85546875" style="1" customWidth="1"/>
    <col min="9475" max="9475" width="13.85546875" style="1" customWidth="1"/>
    <col min="9476" max="9476" width="12.140625" style="1" customWidth="1"/>
    <col min="9477" max="9477" width="13.7109375" style="1" customWidth="1"/>
    <col min="9478" max="9478" width="8.5703125" style="1" customWidth="1"/>
    <col min="9479" max="9479" width="13" style="1" customWidth="1"/>
    <col min="9480" max="9480" width="9" style="1" customWidth="1"/>
    <col min="9481" max="9481" width="6.7109375" style="1" customWidth="1"/>
    <col min="9482" max="9482" width="9" style="1" customWidth="1"/>
    <col min="9483" max="9483" width="6.85546875" style="1" customWidth="1"/>
    <col min="9484" max="9484" width="10.5703125" style="1" customWidth="1"/>
    <col min="9485" max="9485" width="12.28515625" style="1" customWidth="1"/>
    <col min="9486" max="9486" width="12.5703125" style="1" customWidth="1"/>
    <col min="9487" max="9487" width="1.5703125" style="1" customWidth="1"/>
    <col min="9488" max="9488" width="45.140625" style="1" customWidth="1"/>
    <col min="9489" max="9489" width="13.140625" style="1" customWidth="1"/>
    <col min="9490" max="9490" width="10.28515625" style="1" bestFit="1" customWidth="1"/>
    <col min="9491" max="9491" width="16.28515625" style="1" bestFit="1" customWidth="1"/>
    <col min="9492" max="9492" width="11.28515625" style="1" bestFit="1" customWidth="1"/>
    <col min="9493" max="9725" width="9.140625" style="1"/>
    <col min="9726" max="9726" width="5.140625" style="1" customWidth="1"/>
    <col min="9727" max="9727" width="33.5703125" style="1" customWidth="1"/>
    <col min="9728" max="9728" width="25.85546875" style="1" customWidth="1"/>
    <col min="9729" max="9729" width="0" style="1" hidden="1" customWidth="1"/>
    <col min="9730" max="9730" width="14.85546875" style="1" customWidth="1"/>
    <col min="9731" max="9731" width="13.85546875" style="1" customWidth="1"/>
    <col min="9732" max="9732" width="12.140625" style="1" customWidth="1"/>
    <col min="9733" max="9733" width="13.7109375" style="1" customWidth="1"/>
    <col min="9734" max="9734" width="8.5703125" style="1" customWidth="1"/>
    <col min="9735" max="9735" width="13" style="1" customWidth="1"/>
    <col min="9736" max="9736" width="9" style="1" customWidth="1"/>
    <col min="9737" max="9737" width="6.7109375" style="1" customWidth="1"/>
    <col min="9738" max="9738" width="9" style="1" customWidth="1"/>
    <col min="9739" max="9739" width="6.85546875" style="1" customWidth="1"/>
    <col min="9740" max="9740" width="10.5703125" style="1" customWidth="1"/>
    <col min="9741" max="9741" width="12.28515625" style="1" customWidth="1"/>
    <col min="9742" max="9742" width="12.5703125" style="1" customWidth="1"/>
    <col min="9743" max="9743" width="1.5703125" style="1" customWidth="1"/>
    <col min="9744" max="9744" width="45.140625" style="1" customWidth="1"/>
    <col min="9745" max="9745" width="13.140625" style="1" customWidth="1"/>
    <col min="9746" max="9746" width="10.28515625" style="1" bestFit="1" customWidth="1"/>
    <col min="9747" max="9747" width="16.28515625" style="1" bestFit="1" customWidth="1"/>
    <col min="9748" max="9748" width="11.28515625" style="1" bestFit="1" customWidth="1"/>
    <col min="9749" max="9981" width="9.140625" style="1"/>
    <col min="9982" max="9982" width="5.140625" style="1" customWidth="1"/>
    <col min="9983" max="9983" width="33.5703125" style="1" customWidth="1"/>
    <col min="9984" max="9984" width="25.85546875" style="1" customWidth="1"/>
    <col min="9985" max="9985" width="0" style="1" hidden="1" customWidth="1"/>
    <col min="9986" max="9986" width="14.85546875" style="1" customWidth="1"/>
    <col min="9987" max="9987" width="13.85546875" style="1" customWidth="1"/>
    <col min="9988" max="9988" width="12.140625" style="1" customWidth="1"/>
    <col min="9989" max="9989" width="13.7109375" style="1" customWidth="1"/>
    <col min="9990" max="9990" width="8.5703125" style="1" customWidth="1"/>
    <col min="9991" max="9991" width="13" style="1" customWidth="1"/>
    <col min="9992" max="9992" width="9" style="1" customWidth="1"/>
    <col min="9993" max="9993" width="6.7109375" style="1" customWidth="1"/>
    <col min="9994" max="9994" width="9" style="1" customWidth="1"/>
    <col min="9995" max="9995" width="6.85546875" style="1" customWidth="1"/>
    <col min="9996" max="9996" width="10.5703125" style="1" customWidth="1"/>
    <col min="9997" max="9997" width="12.28515625" style="1" customWidth="1"/>
    <col min="9998" max="9998" width="12.5703125" style="1" customWidth="1"/>
    <col min="9999" max="9999" width="1.5703125" style="1" customWidth="1"/>
    <col min="10000" max="10000" width="45.140625" style="1" customWidth="1"/>
    <col min="10001" max="10001" width="13.140625" style="1" customWidth="1"/>
    <col min="10002" max="10002" width="10.28515625" style="1" bestFit="1" customWidth="1"/>
    <col min="10003" max="10003" width="16.28515625" style="1" bestFit="1" customWidth="1"/>
    <col min="10004" max="10004" width="11.28515625" style="1" bestFit="1" customWidth="1"/>
    <col min="10005" max="10237" width="9.140625" style="1"/>
    <col min="10238" max="10238" width="5.140625" style="1" customWidth="1"/>
    <col min="10239" max="10239" width="33.5703125" style="1" customWidth="1"/>
    <col min="10240" max="10240" width="25.85546875" style="1" customWidth="1"/>
    <col min="10241" max="10241" width="0" style="1" hidden="1" customWidth="1"/>
    <col min="10242" max="10242" width="14.85546875" style="1" customWidth="1"/>
    <col min="10243" max="10243" width="13.85546875" style="1" customWidth="1"/>
    <col min="10244" max="10244" width="12.140625" style="1" customWidth="1"/>
    <col min="10245" max="10245" width="13.7109375" style="1" customWidth="1"/>
    <col min="10246" max="10246" width="8.5703125" style="1" customWidth="1"/>
    <col min="10247" max="10247" width="13" style="1" customWidth="1"/>
    <col min="10248" max="10248" width="9" style="1" customWidth="1"/>
    <col min="10249" max="10249" width="6.7109375" style="1" customWidth="1"/>
    <col min="10250" max="10250" width="9" style="1" customWidth="1"/>
    <col min="10251" max="10251" width="6.85546875" style="1" customWidth="1"/>
    <col min="10252" max="10252" width="10.5703125" style="1" customWidth="1"/>
    <col min="10253" max="10253" width="12.28515625" style="1" customWidth="1"/>
    <col min="10254" max="10254" width="12.5703125" style="1" customWidth="1"/>
    <col min="10255" max="10255" width="1.5703125" style="1" customWidth="1"/>
    <col min="10256" max="10256" width="45.140625" style="1" customWidth="1"/>
    <col min="10257" max="10257" width="13.140625" style="1" customWidth="1"/>
    <col min="10258" max="10258" width="10.28515625" style="1" bestFit="1" customWidth="1"/>
    <col min="10259" max="10259" width="16.28515625" style="1" bestFit="1" customWidth="1"/>
    <col min="10260" max="10260" width="11.28515625" style="1" bestFit="1" customWidth="1"/>
    <col min="10261" max="10493" width="9.140625" style="1"/>
    <col min="10494" max="10494" width="5.140625" style="1" customWidth="1"/>
    <col min="10495" max="10495" width="33.5703125" style="1" customWidth="1"/>
    <col min="10496" max="10496" width="25.85546875" style="1" customWidth="1"/>
    <col min="10497" max="10497" width="0" style="1" hidden="1" customWidth="1"/>
    <col min="10498" max="10498" width="14.85546875" style="1" customWidth="1"/>
    <col min="10499" max="10499" width="13.85546875" style="1" customWidth="1"/>
    <col min="10500" max="10500" width="12.140625" style="1" customWidth="1"/>
    <col min="10501" max="10501" width="13.7109375" style="1" customWidth="1"/>
    <col min="10502" max="10502" width="8.5703125" style="1" customWidth="1"/>
    <col min="10503" max="10503" width="13" style="1" customWidth="1"/>
    <col min="10504" max="10504" width="9" style="1" customWidth="1"/>
    <col min="10505" max="10505" width="6.7109375" style="1" customWidth="1"/>
    <col min="10506" max="10506" width="9" style="1" customWidth="1"/>
    <col min="10507" max="10507" width="6.85546875" style="1" customWidth="1"/>
    <col min="10508" max="10508" width="10.5703125" style="1" customWidth="1"/>
    <col min="10509" max="10509" width="12.28515625" style="1" customWidth="1"/>
    <col min="10510" max="10510" width="12.5703125" style="1" customWidth="1"/>
    <col min="10511" max="10511" width="1.5703125" style="1" customWidth="1"/>
    <col min="10512" max="10512" width="45.140625" style="1" customWidth="1"/>
    <col min="10513" max="10513" width="13.140625" style="1" customWidth="1"/>
    <col min="10514" max="10514" width="10.28515625" style="1" bestFit="1" customWidth="1"/>
    <col min="10515" max="10515" width="16.28515625" style="1" bestFit="1" customWidth="1"/>
    <col min="10516" max="10516" width="11.28515625" style="1" bestFit="1" customWidth="1"/>
    <col min="10517" max="10749" width="9.140625" style="1"/>
    <col min="10750" max="10750" width="5.140625" style="1" customWidth="1"/>
    <col min="10751" max="10751" width="33.5703125" style="1" customWidth="1"/>
    <col min="10752" max="10752" width="25.85546875" style="1" customWidth="1"/>
    <col min="10753" max="10753" width="0" style="1" hidden="1" customWidth="1"/>
    <col min="10754" max="10754" width="14.85546875" style="1" customWidth="1"/>
    <col min="10755" max="10755" width="13.85546875" style="1" customWidth="1"/>
    <col min="10756" max="10756" width="12.140625" style="1" customWidth="1"/>
    <col min="10757" max="10757" width="13.7109375" style="1" customWidth="1"/>
    <col min="10758" max="10758" width="8.5703125" style="1" customWidth="1"/>
    <col min="10759" max="10759" width="13" style="1" customWidth="1"/>
    <col min="10760" max="10760" width="9" style="1" customWidth="1"/>
    <col min="10761" max="10761" width="6.7109375" style="1" customWidth="1"/>
    <col min="10762" max="10762" width="9" style="1" customWidth="1"/>
    <col min="10763" max="10763" width="6.85546875" style="1" customWidth="1"/>
    <col min="10764" max="10764" width="10.5703125" style="1" customWidth="1"/>
    <col min="10765" max="10765" width="12.28515625" style="1" customWidth="1"/>
    <col min="10766" max="10766" width="12.5703125" style="1" customWidth="1"/>
    <col min="10767" max="10767" width="1.5703125" style="1" customWidth="1"/>
    <col min="10768" max="10768" width="45.140625" style="1" customWidth="1"/>
    <col min="10769" max="10769" width="13.140625" style="1" customWidth="1"/>
    <col min="10770" max="10770" width="10.28515625" style="1" bestFit="1" customWidth="1"/>
    <col min="10771" max="10771" width="16.28515625" style="1" bestFit="1" customWidth="1"/>
    <col min="10772" max="10772" width="11.28515625" style="1" bestFit="1" customWidth="1"/>
    <col min="10773" max="11005" width="9.140625" style="1"/>
    <col min="11006" max="11006" width="5.140625" style="1" customWidth="1"/>
    <col min="11007" max="11007" width="33.5703125" style="1" customWidth="1"/>
    <col min="11008" max="11008" width="25.85546875" style="1" customWidth="1"/>
    <col min="11009" max="11009" width="0" style="1" hidden="1" customWidth="1"/>
    <col min="11010" max="11010" width="14.85546875" style="1" customWidth="1"/>
    <col min="11011" max="11011" width="13.85546875" style="1" customWidth="1"/>
    <col min="11012" max="11012" width="12.140625" style="1" customWidth="1"/>
    <col min="11013" max="11013" width="13.7109375" style="1" customWidth="1"/>
    <col min="11014" max="11014" width="8.5703125" style="1" customWidth="1"/>
    <col min="11015" max="11015" width="13" style="1" customWidth="1"/>
    <col min="11016" max="11016" width="9" style="1" customWidth="1"/>
    <col min="11017" max="11017" width="6.7109375" style="1" customWidth="1"/>
    <col min="11018" max="11018" width="9" style="1" customWidth="1"/>
    <col min="11019" max="11019" width="6.85546875" style="1" customWidth="1"/>
    <col min="11020" max="11020" width="10.5703125" style="1" customWidth="1"/>
    <col min="11021" max="11021" width="12.28515625" style="1" customWidth="1"/>
    <col min="11022" max="11022" width="12.5703125" style="1" customWidth="1"/>
    <col min="11023" max="11023" width="1.5703125" style="1" customWidth="1"/>
    <col min="11024" max="11024" width="45.140625" style="1" customWidth="1"/>
    <col min="11025" max="11025" width="13.140625" style="1" customWidth="1"/>
    <col min="11026" max="11026" width="10.28515625" style="1" bestFit="1" customWidth="1"/>
    <col min="11027" max="11027" width="16.28515625" style="1" bestFit="1" customWidth="1"/>
    <col min="11028" max="11028" width="11.28515625" style="1" bestFit="1" customWidth="1"/>
    <col min="11029" max="11261" width="9.140625" style="1"/>
    <col min="11262" max="11262" width="5.140625" style="1" customWidth="1"/>
    <col min="11263" max="11263" width="33.5703125" style="1" customWidth="1"/>
    <col min="11264" max="11264" width="25.85546875" style="1" customWidth="1"/>
    <col min="11265" max="11265" width="0" style="1" hidden="1" customWidth="1"/>
    <col min="11266" max="11266" width="14.85546875" style="1" customWidth="1"/>
    <col min="11267" max="11267" width="13.85546875" style="1" customWidth="1"/>
    <col min="11268" max="11268" width="12.140625" style="1" customWidth="1"/>
    <col min="11269" max="11269" width="13.7109375" style="1" customWidth="1"/>
    <col min="11270" max="11270" width="8.5703125" style="1" customWidth="1"/>
    <col min="11271" max="11271" width="13" style="1" customWidth="1"/>
    <col min="11272" max="11272" width="9" style="1" customWidth="1"/>
    <col min="11273" max="11273" width="6.7109375" style="1" customWidth="1"/>
    <col min="11274" max="11274" width="9" style="1" customWidth="1"/>
    <col min="11275" max="11275" width="6.85546875" style="1" customWidth="1"/>
    <col min="11276" max="11276" width="10.5703125" style="1" customWidth="1"/>
    <col min="11277" max="11277" width="12.28515625" style="1" customWidth="1"/>
    <col min="11278" max="11278" width="12.5703125" style="1" customWidth="1"/>
    <col min="11279" max="11279" width="1.5703125" style="1" customWidth="1"/>
    <col min="11280" max="11280" width="45.140625" style="1" customWidth="1"/>
    <col min="11281" max="11281" width="13.140625" style="1" customWidth="1"/>
    <col min="11282" max="11282" width="10.28515625" style="1" bestFit="1" customWidth="1"/>
    <col min="11283" max="11283" width="16.28515625" style="1" bestFit="1" customWidth="1"/>
    <col min="11284" max="11284" width="11.28515625" style="1" bestFit="1" customWidth="1"/>
    <col min="11285" max="11517" width="9.140625" style="1"/>
    <col min="11518" max="11518" width="5.140625" style="1" customWidth="1"/>
    <col min="11519" max="11519" width="33.5703125" style="1" customWidth="1"/>
    <col min="11520" max="11520" width="25.85546875" style="1" customWidth="1"/>
    <col min="11521" max="11521" width="0" style="1" hidden="1" customWidth="1"/>
    <col min="11522" max="11522" width="14.85546875" style="1" customWidth="1"/>
    <col min="11523" max="11523" width="13.85546875" style="1" customWidth="1"/>
    <col min="11524" max="11524" width="12.140625" style="1" customWidth="1"/>
    <col min="11525" max="11525" width="13.7109375" style="1" customWidth="1"/>
    <col min="11526" max="11526" width="8.5703125" style="1" customWidth="1"/>
    <col min="11527" max="11527" width="13" style="1" customWidth="1"/>
    <col min="11528" max="11528" width="9" style="1" customWidth="1"/>
    <col min="11529" max="11529" width="6.7109375" style="1" customWidth="1"/>
    <col min="11530" max="11530" width="9" style="1" customWidth="1"/>
    <col min="11531" max="11531" width="6.85546875" style="1" customWidth="1"/>
    <col min="11532" max="11532" width="10.5703125" style="1" customWidth="1"/>
    <col min="11533" max="11533" width="12.28515625" style="1" customWidth="1"/>
    <col min="11534" max="11534" width="12.5703125" style="1" customWidth="1"/>
    <col min="11535" max="11535" width="1.5703125" style="1" customWidth="1"/>
    <col min="11536" max="11536" width="45.140625" style="1" customWidth="1"/>
    <col min="11537" max="11537" width="13.140625" style="1" customWidth="1"/>
    <col min="11538" max="11538" width="10.28515625" style="1" bestFit="1" customWidth="1"/>
    <col min="11539" max="11539" width="16.28515625" style="1" bestFit="1" customWidth="1"/>
    <col min="11540" max="11540" width="11.28515625" style="1" bestFit="1" customWidth="1"/>
    <col min="11541" max="11773" width="9.140625" style="1"/>
    <col min="11774" max="11774" width="5.140625" style="1" customWidth="1"/>
    <col min="11775" max="11775" width="33.5703125" style="1" customWidth="1"/>
    <col min="11776" max="11776" width="25.85546875" style="1" customWidth="1"/>
    <col min="11777" max="11777" width="0" style="1" hidden="1" customWidth="1"/>
    <col min="11778" max="11778" width="14.85546875" style="1" customWidth="1"/>
    <col min="11779" max="11779" width="13.85546875" style="1" customWidth="1"/>
    <col min="11780" max="11780" width="12.140625" style="1" customWidth="1"/>
    <col min="11781" max="11781" width="13.7109375" style="1" customWidth="1"/>
    <col min="11782" max="11782" width="8.5703125" style="1" customWidth="1"/>
    <col min="11783" max="11783" width="13" style="1" customWidth="1"/>
    <col min="11784" max="11784" width="9" style="1" customWidth="1"/>
    <col min="11785" max="11785" width="6.7109375" style="1" customWidth="1"/>
    <col min="11786" max="11786" width="9" style="1" customWidth="1"/>
    <col min="11787" max="11787" width="6.85546875" style="1" customWidth="1"/>
    <col min="11788" max="11788" width="10.5703125" style="1" customWidth="1"/>
    <col min="11789" max="11789" width="12.28515625" style="1" customWidth="1"/>
    <col min="11790" max="11790" width="12.5703125" style="1" customWidth="1"/>
    <col min="11791" max="11791" width="1.5703125" style="1" customWidth="1"/>
    <col min="11792" max="11792" width="45.140625" style="1" customWidth="1"/>
    <col min="11793" max="11793" width="13.140625" style="1" customWidth="1"/>
    <col min="11794" max="11794" width="10.28515625" style="1" bestFit="1" customWidth="1"/>
    <col min="11795" max="11795" width="16.28515625" style="1" bestFit="1" customWidth="1"/>
    <col min="11796" max="11796" width="11.28515625" style="1" bestFit="1" customWidth="1"/>
    <col min="11797" max="12029" width="9.140625" style="1"/>
    <col min="12030" max="12030" width="5.140625" style="1" customWidth="1"/>
    <col min="12031" max="12031" width="33.5703125" style="1" customWidth="1"/>
    <col min="12032" max="12032" width="25.85546875" style="1" customWidth="1"/>
    <col min="12033" max="12033" width="0" style="1" hidden="1" customWidth="1"/>
    <col min="12034" max="12034" width="14.85546875" style="1" customWidth="1"/>
    <col min="12035" max="12035" width="13.85546875" style="1" customWidth="1"/>
    <col min="12036" max="12036" width="12.140625" style="1" customWidth="1"/>
    <col min="12037" max="12037" width="13.7109375" style="1" customWidth="1"/>
    <col min="12038" max="12038" width="8.5703125" style="1" customWidth="1"/>
    <col min="12039" max="12039" width="13" style="1" customWidth="1"/>
    <col min="12040" max="12040" width="9" style="1" customWidth="1"/>
    <col min="12041" max="12041" width="6.7109375" style="1" customWidth="1"/>
    <col min="12042" max="12042" width="9" style="1" customWidth="1"/>
    <col min="12043" max="12043" width="6.85546875" style="1" customWidth="1"/>
    <col min="12044" max="12044" width="10.5703125" style="1" customWidth="1"/>
    <col min="12045" max="12045" width="12.28515625" style="1" customWidth="1"/>
    <col min="12046" max="12046" width="12.5703125" style="1" customWidth="1"/>
    <col min="12047" max="12047" width="1.5703125" style="1" customWidth="1"/>
    <col min="12048" max="12048" width="45.140625" style="1" customWidth="1"/>
    <col min="12049" max="12049" width="13.140625" style="1" customWidth="1"/>
    <col min="12050" max="12050" width="10.28515625" style="1" bestFit="1" customWidth="1"/>
    <col min="12051" max="12051" width="16.28515625" style="1" bestFit="1" customWidth="1"/>
    <col min="12052" max="12052" width="11.28515625" style="1" bestFit="1" customWidth="1"/>
    <col min="12053" max="12285" width="9.140625" style="1"/>
    <col min="12286" max="12286" width="5.140625" style="1" customWidth="1"/>
    <col min="12287" max="12287" width="33.5703125" style="1" customWidth="1"/>
    <col min="12288" max="12288" width="25.85546875" style="1" customWidth="1"/>
    <col min="12289" max="12289" width="0" style="1" hidden="1" customWidth="1"/>
    <col min="12290" max="12290" width="14.85546875" style="1" customWidth="1"/>
    <col min="12291" max="12291" width="13.85546875" style="1" customWidth="1"/>
    <col min="12292" max="12292" width="12.140625" style="1" customWidth="1"/>
    <col min="12293" max="12293" width="13.7109375" style="1" customWidth="1"/>
    <col min="12294" max="12294" width="8.5703125" style="1" customWidth="1"/>
    <col min="12295" max="12295" width="13" style="1" customWidth="1"/>
    <col min="12296" max="12296" width="9" style="1" customWidth="1"/>
    <col min="12297" max="12297" width="6.7109375" style="1" customWidth="1"/>
    <col min="12298" max="12298" width="9" style="1" customWidth="1"/>
    <col min="12299" max="12299" width="6.85546875" style="1" customWidth="1"/>
    <col min="12300" max="12300" width="10.5703125" style="1" customWidth="1"/>
    <col min="12301" max="12301" width="12.28515625" style="1" customWidth="1"/>
    <col min="12302" max="12302" width="12.5703125" style="1" customWidth="1"/>
    <col min="12303" max="12303" width="1.5703125" style="1" customWidth="1"/>
    <col min="12304" max="12304" width="45.140625" style="1" customWidth="1"/>
    <col min="12305" max="12305" width="13.140625" style="1" customWidth="1"/>
    <col min="12306" max="12306" width="10.28515625" style="1" bestFit="1" customWidth="1"/>
    <col min="12307" max="12307" width="16.28515625" style="1" bestFit="1" customWidth="1"/>
    <col min="12308" max="12308" width="11.28515625" style="1" bestFit="1" customWidth="1"/>
    <col min="12309" max="12541" width="9.140625" style="1"/>
    <col min="12542" max="12542" width="5.140625" style="1" customWidth="1"/>
    <col min="12543" max="12543" width="33.5703125" style="1" customWidth="1"/>
    <col min="12544" max="12544" width="25.85546875" style="1" customWidth="1"/>
    <col min="12545" max="12545" width="0" style="1" hidden="1" customWidth="1"/>
    <col min="12546" max="12546" width="14.85546875" style="1" customWidth="1"/>
    <col min="12547" max="12547" width="13.85546875" style="1" customWidth="1"/>
    <col min="12548" max="12548" width="12.140625" style="1" customWidth="1"/>
    <col min="12549" max="12549" width="13.7109375" style="1" customWidth="1"/>
    <col min="12550" max="12550" width="8.5703125" style="1" customWidth="1"/>
    <col min="12551" max="12551" width="13" style="1" customWidth="1"/>
    <col min="12552" max="12552" width="9" style="1" customWidth="1"/>
    <col min="12553" max="12553" width="6.7109375" style="1" customWidth="1"/>
    <col min="12554" max="12554" width="9" style="1" customWidth="1"/>
    <col min="12555" max="12555" width="6.85546875" style="1" customWidth="1"/>
    <col min="12556" max="12556" width="10.5703125" style="1" customWidth="1"/>
    <col min="12557" max="12557" width="12.28515625" style="1" customWidth="1"/>
    <col min="12558" max="12558" width="12.5703125" style="1" customWidth="1"/>
    <col min="12559" max="12559" width="1.5703125" style="1" customWidth="1"/>
    <col min="12560" max="12560" width="45.140625" style="1" customWidth="1"/>
    <col min="12561" max="12561" width="13.140625" style="1" customWidth="1"/>
    <col min="12562" max="12562" width="10.28515625" style="1" bestFit="1" customWidth="1"/>
    <col min="12563" max="12563" width="16.28515625" style="1" bestFit="1" customWidth="1"/>
    <col min="12564" max="12564" width="11.28515625" style="1" bestFit="1" customWidth="1"/>
    <col min="12565" max="12797" width="9.140625" style="1"/>
    <col min="12798" max="12798" width="5.140625" style="1" customWidth="1"/>
    <col min="12799" max="12799" width="33.5703125" style="1" customWidth="1"/>
    <col min="12800" max="12800" width="25.85546875" style="1" customWidth="1"/>
    <col min="12801" max="12801" width="0" style="1" hidden="1" customWidth="1"/>
    <col min="12802" max="12802" width="14.85546875" style="1" customWidth="1"/>
    <col min="12803" max="12803" width="13.85546875" style="1" customWidth="1"/>
    <col min="12804" max="12804" width="12.140625" style="1" customWidth="1"/>
    <col min="12805" max="12805" width="13.7109375" style="1" customWidth="1"/>
    <col min="12806" max="12806" width="8.5703125" style="1" customWidth="1"/>
    <col min="12807" max="12807" width="13" style="1" customWidth="1"/>
    <col min="12808" max="12808" width="9" style="1" customWidth="1"/>
    <col min="12809" max="12809" width="6.7109375" style="1" customWidth="1"/>
    <col min="12810" max="12810" width="9" style="1" customWidth="1"/>
    <col min="12811" max="12811" width="6.85546875" style="1" customWidth="1"/>
    <col min="12812" max="12812" width="10.5703125" style="1" customWidth="1"/>
    <col min="12813" max="12813" width="12.28515625" style="1" customWidth="1"/>
    <col min="12814" max="12814" width="12.5703125" style="1" customWidth="1"/>
    <col min="12815" max="12815" width="1.5703125" style="1" customWidth="1"/>
    <col min="12816" max="12816" width="45.140625" style="1" customWidth="1"/>
    <col min="12817" max="12817" width="13.140625" style="1" customWidth="1"/>
    <col min="12818" max="12818" width="10.28515625" style="1" bestFit="1" customWidth="1"/>
    <col min="12819" max="12819" width="16.28515625" style="1" bestFit="1" customWidth="1"/>
    <col min="12820" max="12820" width="11.28515625" style="1" bestFit="1" customWidth="1"/>
    <col min="12821" max="13053" width="9.140625" style="1"/>
    <col min="13054" max="13054" width="5.140625" style="1" customWidth="1"/>
    <col min="13055" max="13055" width="33.5703125" style="1" customWidth="1"/>
    <col min="13056" max="13056" width="25.85546875" style="1" customWidth="1"/>
    <col min="13057" max="13057" width="0" style="1" hidden="1" customWidth="1"/>
    <col min="13058" max="13058" width="14.85546875" style="1" customWidth="1"/>
    <col min="13059" max="13059" width="13.85546875" style="1" customWidth="1"/>
    <col min="13060" max="13060" width="12.140625" style="1" customWidth="1"/>
    <col min="13061" max="13061" width="13.7109375" style="1" customWidth="1"/>
    <col min="13062" max="13062" width="8.5703125" style="1" customWidth="1"/>
    <col min="13063" max="13063" width="13" style="1" customWidth="1"/>
    <col min="13064" max="13064" width="9" style="1" customWidth="1"/>
    <col min="13065" max="13065" width="6.7109375" style="1" customWidth="1"/>
    <col min="13066" max="13066" width="9" style="1" customWidth="1"/>
    <col min="13067" max="13067" width="6.85546875" style="1" customWidth="1"/>
    <col min="13068" max="13068" width="10.5703125" style="1" customWidth="1"/>
    <col min="13069" max="13069" width="12.28515625" style="1" customWidth="1"/>
    <col min="13070" max="13070" width="12.5703125" style="1" customWidth="1"/>
    <col min="13071" max="13071" width="1.5703125" style="1" customWidth="1"/>
    <col min="13072" max="13072" width="45.140625" style="1" customWidth="1"/>
    <col min="13073" max="13073" width="13.140625" style="1" customWidth="1"/>
    <col min="13074" max="13074" width="10.28515625" style="1" bestFit="1" customWidth="1"/>
    <col min="13075" max="13075" width="16.28515625" style="1" bestFit="1" customWidth="1"/>
    <col min="13076" max="13076" width="11.28515625" style="1" bestFit="1" customWidth="1"/>
    <col min="13077" max="13309" width="9.140625" style="1"/>
    <col min="13310" max="13310" width="5.140625" style="1" customWidth="1"/>
    <col min="13311" max="13311" width="33.5703125" style="1" customWidth="1"/>
    <col min="13312" max="13312" width="25.85546875" style="1" customWidth="1"/>
    <col min="13313" max="13313" width="0" style="1" hidden="1" customWidth="1"/>
    <col min="13314" max="13314" width="14.85546875" style="1" customWidth="1"/>
    <col min="13315" max="13315" width="13.85546875" style="1" customWidth="1"/>
    <col min="13316" max="13316" width="12.140625" style="1" customWidth="1"/>
    <col min="13317" max="13317" width="13.7109375" style="1" customWidth="1"/>
    <col min="13318" max="13318" width="8.5703125" style="1" customWidth="1"/>
    <col min="13319" max="13319" width="13" style="1" customWidth="1"/>
    <col min="13320" max="13320" width="9" style="1" customWidth="1"/>
    <col min="13321" max="13321" width="6.7109375" style="1" customWidth="1"/>
    <col min="13322" max="13322" width="9" style="1" customWidth="1"/>
    <col min="13323" max="13323" width="6.85546875" style="1" customWidth="1"/>
    <col min="13324" max="13324" width="10.5703125" style="1" customWidth="1"/>
    <col min="13325" max="13325" width="12.28515625" style="1" customWidth="1"/>
    <col min="13326" max="13326" width="12.5703125" style="1" customWidth="1"/>
    <col min="13327" max="13327" width="1.5703125" style="1" customWidth="1"/>
    <col min="13328" max="13328" width="45.140625" style="1" customWidth="1"/>
    <col min="13329" max="13329" width="13.140625" style="1" customWidth="1"/>
    <col min="13330" max="13330" width="10.28515625" style="1" bestFit="1" customWidth="1"/>
    <col min="13331" max="13331" width="16.28515625" style="1" bestFit="1" customWidth="1"/>
    <col min="13332" max="13332" width="11.28515625" style="1" bestFit="1" customWidth="1"/>
    <col min="13333" max="13565" width="9.140625" style="1"/>
    <col min="13566" max="13566" width="5.140625" style="1" customWidth="1"/>
    <col min="13567" max="13567" width="33.5703125" style="1" customWidth="1"/>
    <col min="13568" max="13568" width="25.85546875" style="1" customWidth="1"/>
    <col min="13569" max="13569" width="0" style="1" hidden="1" customWidth="1"/>
    <col min="13570" max="13570" width="14.85546875" style="1" customWidth="1"/>
    <col min="13571" max="13571" width="13.85546875" style="1" customWidth="1"/>
    <col min="13572" max="13572" width="12.140625" style="1" customWidth="1"/>
    <col min="13573" max="13573" width="13.7109375" style="1" customWidth="1"/>
    <col min="13574" max="13574" width="8.5703125" style="1" customWidth="1"/>
    <col min="13575" max="13575" width="13" style="1" customWidth="1"/>
    <col min="13576" max="13576" width="9" style="1" customWidth="1"/>
    <col min="13577" max="13577" width="6.7109375" style="1" customWidth="1"/>
    <col min="13578" max="13578" width="9" style="1" customWidth="1"/>
    <col min="13579" max="13579" width="6.85546875" style="1" customWidth="1"/>
    <col min="13580" max="13580" width="10.5703125" style="1" customWidth="1"/>
    <col min="13581" max="13581" width="12.28515625" style="1" customWidth="1"/>
    <col min="13582" max="13582" width="12.5703125" style="1" customWidth="1"/>
    <col min="13583" max="13583" width="1.5703125" style="1" customWidth="1"/>
    <col min="13584" max="13584" width="45.140625" style="1" customWidth="1"/>
    <col min="13585" max="13585" width="13.140625" style="1" customWidth="1"/>
    <col min="13586" max="13586" width="10.28515625" style="1" bestFit="1" customWidth="1"/>
    <col min="13587" max="13587" width="16.28515625" style="1" bestFit="1" customWidth="1"/>
    <col min="13588" max="13588" width="11.28515625" style="1" bestFit="1" customWidth="1"/>
    <col min="13589" max="13821" width="9.140625" style="1"/>
    <col min="13822" max="13822" width="5.140625" style="1" customWidth="1"/>
    <col min="13823" max="13823" width="33.5703125" style="1" customWidth="1"/>
    <col min="13824" max="13824" width="25.85546875" style="1" customWidth="1"/>
    <col min="13825" max="13825" width="0" style="1" hidden="1" customWidth="1"/>
    <col min="13826" max="13826" width="14.85546875" style="1" customWidth="1"/>
    <col min="13827" max="13827" width="13.85546875" style="1" customWidth="1"/>
    <col min="13828" max="13828" width="12.140625" style="1" customWidth="1"/>
    <col min="13829" max="13829" width="13.7109375" style="1" customWidth="1"/>
    <col min="13830" max="13830" width="8.5703125" style="1" customWidth="1"/>
    <col min="13831" max="13831" width="13" style="1" customWidth="1"/>
    <col min="13832" max="13832" width="9" style="1" customWidth="1"/>
    <col min="13833" max="13833" width="6.7109375" style="1" customWidth="1"/>
    <col min="13834" max="13834" width="9" style="1" customWidth="1"/>
    <col min="13835" max="13835" width="6.85546875" style="1" customWidth="1"/>
    <col min="13836" max="13836" width="10.5703125" style="1" customWidth="1"/>
    <col min="13837" max="13837" width="12.28515625" style="1" customWidth="1"/>
    <col min="13838" max="13838" width="12.5703125" style="1" customWidth="1"/>
    <col min="13839" max="13839" width="1.5703125" style="1" customWidth="1"/>
    <col min="13840" max="13840" width="45.140625" style="1" customWidth="1"/>
    <col min="13841" max="13841" width="13.140625" style="1" customWidth="1"/>
    <col min="13842" max="13842" width="10.28515625" style="1" bestFit="1" customWidth="1"/>
    <col min="13843" max="13843" width="16.28515625" style="1" bestFit="1" customWidth="1"/>
    <col min="13844" max="13844" width="11.28515625" style="1" bestFit="1" customWidth="1"/>
    <col min="13845" max="14077" width="9.140625" style="1"/>
    <col min="14078" max="14078" width="5.140625" style="1" customWidth="1"/>
    <col min="14079" max="14079" width="33.5703125" style="1" customWidth="1"/>
    <col min="14080" max="14080" width="25.85546875" style="1" customWidth="1"/>
    <col min="14081" max="14081" width="0" style="1" hidden="1" customWidth="1"/>
    <col min="14082" max="14082" width="14.85546875" style="1" customWidth="1"/>
    <col min="14083" max="14083" width="13.85546875" style="1" customWidth="1"/>
    <col min="14084" max="14084" width="12.140625" style="1" customWidth="1"/>
    <col min="14085" max="14085" width="13.7109375" style="1" customWidth="1"/>
    <col min="14086" max="14086" width="8.5703125" style="1" customWidth="1"/>
    <col min="14087" max="14087" width="13" style="1" customWidth="1"/>
    <col min="14088" max="14088" width="9" style="1" customWidth="1"/>
    <col min="14089" max="14089" width="6.7109375" style="1" customWidth="1"/>
    <col min="14090" max="14090" width="9" style="1" customWidth="1"/>
    <col min="14091" max="14091" width="6.85546875" style="1" customWidth="1"/>
    <col min="14092" max="14092" width="10.5703125" style="1" customWidth="1"/>
    <col min="14093" max="14093" width="12.28515625" style="1" customWidth="1"/>
    <col min="14094" max="14094" width="12.5703125" style="1" customWidth="1"/>
    <col min="14095" max="14095" width="1.5703125" style="1" customWidth="1"/>
    <col min="14096" max="14096" width="45.140625" style="1" customWidth="1"/>
    <col min="14097" max="14097" width="13.140625" style="1" customWidth="1"/>
    <col min="14098" max="14098" width="10.28515625" style="1" bestFit="1" customWidth="1"/>
    <col min="14099" max="14099" width="16.28515625" style="1" bestFit="1" customWidth="1"/>
    <col min="14100" max="14100" width="11.28515625" style="1" bestFit="1" customWidth="1"/>
    <col min="14101" max="14333" width="9.140625" style="1"/>
    <col min="14334" max="14334" width="5.140625" style="1" customWidth="1"/>
    <col min="14335" max="14335" width="33.5703125" style="1" customWidth="1"/>
    <col min="14336" max="14336" width="25.85546875" style="1" customWidth="1"/>
    <col min="14337" max="14337" width="0" style="1" hidden="1" customWidth="1"/>
    <col min="14338" max="14338" width="14.85546875" style="1" customWidth="1"/>
    <col min="14339" max="14339" width="13.85546875" style="1" customWidth="1"/>
    <col min="14340" max="14340" width="12.140625" style="1" customWidth="1"/>
    <col min="14341" max="14341" width="13.7109375" style="1" customWidth="1"/>
    <col min="14342" max="14342" width="8.5703125" style="1" customWidth="1"/>
    <col min="14343" max="14343" width="13" style="1" customWidth="1"/>
    <col min="14344" max="14344" width="9" style="1" customWidth="1"/>
    <col min="14345" max="14345" width="6.7109375" style="1" customWidth="1"/>
    <col min="14346" max="14346" width="9" style="1" customWidth="1"/>
    <col min="14347" max="14347" width="6.85546875" style="1" customWidth="1"/>
    <col min="14348" max="14348" width="10.5703125" style="1" customWidth="1"/>
    <col min="14349" max="14349" width="12.28515625" style="1" customWidth="1"/>
    <col min="14350" max="14350" width="12.5703125" style="1" customWidth="1"/>
    <col min="14351" max="14351" width="1.5703125" style="1" customWidth="1"/>
    <col min="14352" max="14352" width="45.140625" style="1" customWidth="1"/>
    <col min="14353" max="14353" width="13.140625" style="1" customWidth="1"/>
    <col min="14354" max="14354" width="10.28515625" style="1" bestFit="1" customWidth="1"/>
    <col min="14355" max="14355" width="16.28515625" style="1" bestFit="1" customWidth="1"/>
    <col min="14356" max="14356" width="11.28515625" style="1" bestFit="1" customWidth="1"/>
    <col min="14357" max="14589" width="9.140625" style="1"/>
    <col min="14590" max="14590" width="5.140625" style="1" customWidth="1"/>
    <col min="14591" max="14591" width="33.5703125" style="1" customWidth="1"/>
    <col min="14592" max="14592" width="25.85546875" style="1" customWidth="1"/>
    <col min="14593" max="14593" width="0" style="1" hidden="1" customWidth="1"/>
    <col min="14594" max="14594" width="14.85546875" style="1" customWidth="1"/>
    <col min="14595" max="14595" width="13.85546875" style="1" customWidth="1"/>
    <col min="14596" max="14596" width="12.140625" style="1" customWidth="1"/>
    <col min="14597" max="14597" width="13.7109375" style="1" customWidth="1"/>
    <col min="14598" max="14598" width="8.5703125" style="1" customWidth="1"/>
    <col min="14599" max="14599" width="13" style="1" customWidth="1"/>
    <col min="14600" max="14600" width="9" style="1" customWidth="1"/>
    <col min="14601" max="14601" width="6.7109375" style="1" customWidth="1"/>
    <col min="14602" max="14602" width="9" style="1" customWidth="1"/>
    <col min="14603" max="14603" width="6.85546875" style="1" customWidth="1"/>
    <col min="14604" max="14604" width="10.5703125" style="1" customWidth="1"/>
    <col min="14605" max="14605" width="12.28515625" style="1" customWidth="1"/>
    <col min="14606" max="14606" width="12.5703125" style="1" customWidth="1"/>
    <col min="14607" max="14607" width="1.5703125" style="1" customWidth="1"/>
    <col min="14608" max="14608" width="45.140625" style="1" customWidth="1"/>
    <col min="14609" max="14609" width="13.140625" style="1" customWidth="1"/>
    <col min="14610" max="14610" width="10.28515625" style="1" bestFit="1" customWidth="1"/>
    <col min="14611" max="14611" width="16.28515625" style="1" bestFit="1" customWidth="1"/>
    <col min="14612" max="14612" width="11.28515625" style="1" bestFit="1" customWidth="1"/>
    <col min="14613" max="14845" width="9.140625" style="1"/>
    <col min="14846" max="14846" width="5.140625" style="1" customWidth="1"/>
    <col min="14847" max="14847" width="33.5703125" style="1" customWidth="1"/>
    <col min="14848" max="14848" width="25.85546875" style="1" customWidth="1"/>
    <col min="14849" max="14849" width="0" style="1" hidden="1" customWidth="1"/>
    <col min="14850" max="14850" width="14.85546875" style="1" customWidth="1"/>
    <col min="14851" max="14851" width="13.85546875" style="1" customWidth="1"/>
    <col min="14852" max="14852" width="12.140625" style="1" customWidth="1"/>
    <col min="14853" max="14853" width="13.7109375" style="1" customWidth="1"/>
    <col min="14854" max="14854" width="8.5703125" style="1" customWidth="1"/>
    <col min="14855" max="14855" width="13" style="1" customWidth="1"/>
    <col min="14856" max="14856" width="9" style="1" customWidth="1"/>
    <col min="14857" max="14857" width="6.7109375" style="1" customWidth="1"/>
    <col min="14858" max="14858" width="9" style="1" customWidth="1"/>
    <col min="14859" max="14859" width="6.85546875" style="1" customWidth="1"/>
    <col min="14860" max="14860" width="10.5703125" style="1" customWidth="1"/>
    <col min="14861" max="14861" width="12.28515625" style="1" customWidth="1"/>
    <col min="14862" max="14862" width="12.5703125" style="1" customWidth="1"/>
    <col min="14863" max="14863" width="1.5703125" style="1" customWidth="1"/>
    <col min="14864" max="14864" width="45.140625" style="1" customWidth="1"/>
    <col min="14865" max="14865" width="13.140625" style="1" customWidth="1"/>
    <col min="14866" max="14866" width="10.28515625" style="1" bestFit="1" customWidth="1"/>
    <col min="14867" max="14867" width="16.28515625" style="1" bestFit="1" customWidth="1"/>
    <col min="14868" max="14868" width="11.28515625" style="1" bestFit="1" customWidth="1"/>
    <col min="14869" max="15101" width="9.140625" style="1"/>
    <col min="15102" max="15102" width="5.140625" style="1" customWidth="1"/>
    <col min="15103" max="15103" width="33.5703125" style="1" customWidth="1"/>
    <col min="15104" max="15104" width="25.85546875" style="1" customWidth="1"/>
    <col min="15105" max="15105" width="0" style="1" hidden="1" customWidth="1"/>
    <col min="15106" max="15106" width="14.85546875" style="1" customWidth="1"/>
    <col min="15107" max="15107" width="13.85546875" style="1" customWidth="1"/>
    <col min="15108" max="15108" width="12.140625" style="1" customWidth="1"/>
    <col min="15109" max="15109" width="13.7109375" style="1" customWidth="1"/>
    <col min="15110" max="15110" width="8.5703125" style="1" customWidth="1"/>
    <col min="15111" max="15111" width="13" style="1" customWidth="1"/>
    <col min="15112" max="15112" width="9" style="1" customWidth="1"/>
    <col min="15113" max="15113" width="6.7109375" style="1" customWidth="1"/>
    <col min="15114" max="15114" width="9" style="1" customWidth="1"/>
    <col min="15115" max="15115" width="6.85546875" style="1" customWidth="1"/>
    <col min="15116" max="15116" width="10.5703125" style="1" customWidth="1"/>
    <col min="15117" max="15117" width="12.28515625" style="1" customWidth="1"/>
    <col min="15118" max="15118" width="12.5703125" style="1" customWidth="1"/>
    <col min="15119" max="15119" width="1.5703125" style="1" customWidth="1"/>
    <col min="15120" max="15120" width="45.140625" style="1" customWidth="1"/>
    <col min="15121" max="15121" width="13.140625" style="1" customWidth="1"/>
    <col min="15122" max="15122" width="10.28515625" style="1" bestFit="1" customWidth="1"/>
    <col min="15123" max="15123" width="16.28515625" style="1" bestFit="1" customWidth="1"/>
    <col min="15124" max="15124" width="11.28515625" style="1" bestFit="1" customWidth="1"/>
    <col min="15125" max="15357" width="9.140625" style="1"/>
    <col min="15358" max="15358" width="5.140625" style="1" customWidth="1"/>
    <col min="15359" max="15359" width="33.5703125" style="1" customWidth="1"/>
    <col min="15360" max="15360" width="25.85546875" style="1" customWidth="1"/>
    <col min="15361" max="15361" width="0" style="1" hidden="1" customWidth="1"/>
    <col min="15362" max="15362" width="14.85546875" style="1" customWidth="1"/>
    <col min="15363" max="15363" width="13.85546875" style="1" customWidth="1"/>
    <col min="15364" max="15364" width="12.140625" style="1" customWidth="1"/>
    <col min="15365" max="15365" width="13.7109375" style="1" customWidth="1"/>
    <col min="15366" max="15366" width="8.5703125" style="1" customWidth="1"/>
    <col min="15367" max="15367" width="13" style="1" customWidth="1"/>
    <col min="15368" max="15368" width="9" style="1" customWidth="1"/>
    <col min="15369" max="15369" width="6.7109375" style="1" customWidth="1"/>
    <col min="15370" max="15370" width="9" style="1" customWidth="1"/>
    <col min="15371" max="15371" width="6.85546875" style="1" customWidth="1"/>
    <col min="15372" max="15372" width="10.5703125" style="1" customWidth="1"/>
    <col min="15373" max="15373" width="12.28515625" style="1" customWidth="1"/>
    <col min="15374" max="15374" width="12.5703125" style="1" customWidth="1"/>
    <col min="15375" max="15375" width="1.5703125" style="1" customWidth="1"/>
    <col min="15376" max="15376" width="45.140625" style="1" customWidth="1"/>
    <col min="15377" max="15377" width="13.140625" style="1" customWidth="1"/>
    <col min="15378" max="15378" width="10.28515625" style="1" bestFit="1" customWidth="1"/>
    <col min="15379" max="15379" width="16.28515625" style="1" bestFit="1" customWidth="1"/>
    <col min="15380" max="15380" width="11.28515625" style="1" bestFit="1" customWidth="1"/>
    <col min="15381" max="15613" width="9.140625" style="1"/>
    <col min="15614" max="15614" width="5.140625" style="1" customWidth="1"/>
    <col min="15615" max="15615" width="33.5703125" style="1" customWidth="1"/>
    <col min="15616" max="15616" width="25.85546875" style="1" customWidth="1"/>
    <col min="15617" max="15617" width="0" style="1" hidden="1" customWidth="1"/>
    <col min="15618" max="15618" width="14.85546875" style="1" customWidth="1"/>
    <col min="15619" max="15619" width="13.85546875" style="1" customWidth="1"/>
    <col min="15620" max="15620" width="12.140625" style="1" customWidth="1"/>
    <col min="15621" max="15621" width="13.7109375" style="1" customWidth="1"/>
    <col min="15622" max="15622" width="8.5703125" style="1" customWidth="1"/>
    <col min="15623" max="15623" width="13" style="1" customWidth="1"/>
    <col min="15624" max="15624" width="9" style="1" customWidth="1"/>
    <col min="15625" max="15625" width="6.7109375" style="1" customWidth="1"/>
    <col min="15626" max="15626" width="9" style="1" customWidth="1"/>
    <col min="15627" max="15627" width="6.85546875" style="1" customWidth="1"/>
    <col min="15628" max="15628" width="10.5703125" style="1" customWidth="1"/>
    <col min="15629" max="15629" width="12.28515625" style="1" customWidth="1"/>
    <col min="15630" max="15630" width="12.5703125" style="1" customWidth="1"/>
    <col min="15631" max="15631" width="1.5703125" style="1" customWidth="1"/>
    <col min="15632" max="15632" width="45.140625" style="1" customWidth="1"/>
    <col min="15633" max="15633" width="13.140625" style="1" customWidth="1"/>
    <col min="15634" max="15634" width="10.28515625" style="1" bestFit="1" customWidth="1"/>
    <col min="15635" max="15635" width="16.28515625" style="1" bestFit="1" customWidth="1"/>
    <col min="15636" max="15636" width="11.28515625" style="1" bestFit="1" customWidth="1"/>
    <col min="15637" max="15869" width="9.140625" style="1"/>
    <col min="15870" max="15870" width="5.140625" style="1" customWidth="1"/>
    <col min="15871" max="15871" width="33.5703125" style="1" customWidth="1"/>
    <col min="15872" max="15872" width="25.85546875" style="1" customWidth="1"/>
    <col min="15873" max="15873" width="0" style="1" hidden="1" customWidth="1"/>
    <col min="15874" max="15874" width="14.85546875" style="1" customWidth="1"/>
    <col min="15875" max="15875" width="13.85546875" style="1" customWidth="1"/>
    <col min="15876" max="15876" width="12.140625" style="1" customWidth="1"/>
    <col min="15877" max="15877" width="13.7109375" style="1" customWidth="1"/>
    <col min="15878" max="15878" width="8.5703125" style="1" customWidth="1"/>
    <col min="15879" max="15879" width="13" style="1" customWidth="1"/>
    <col min="15880" max="15880" width="9" style="1" customWidth="1"/>
    <col min="15881" max="15881" width="6.7109375" style="1" customWidth="1"/>
    <col min="15882" max="15882" width="9" style="1" customWidth="1"/>
    <col min="15883" max="15883" width="6.85546875" style="1" customWidth="1"/>
    <col min="15884" max="15884" width="10.5703125" style="1" customWidth="1"/>
    <col min="15885" max="15885" width="12.28515625" style="1" customWidth="1"/>
    <col min="15886" max="15886" width="12.5703125" style="1" customWidth="1"/>
    <col min="15887" max="15887" width="1.5703125" style="1" customWidth="1"/>
    <col min="15888" max="15888" width="45.140625" style="1" customWidth="1"/>
    <col min="15889" max="15889" width="13.140625" style="1" customWidth="1"/>
    <col min="15890" max="15890" width="10.28515625" style="1" bestFit="1" customWidth="1"/>
    <col min="15891" max="15891" width="16.28515625" style="1" bestFit="1" customWidth="1"/>
    <col min="15892" max="15892" width="11.28515625" style="1" bestFit="1" customWidth="1"/>
    <col min="15893" max="16125" width="9.140625" style="1"/>
    <col min="16126" max="16126" width="5.140625" style="1" customWidth="1"/>
    <col min="16127" max="16127" width="33.5703125" style="1" customWidth="1"/>
    <col min="16128" max="16128" width="25.85546875" style="1" customWidth="1"/>
    <col min="16129" max="16129" width="0" style="1" hidden="1" customWidth="1"/>
    <col min="16130" max="16130" width="14.85546875" style="1" customWidth="1"/>
    <col min="16131" max="16131" width="13.85546875" style="1" customWidth="1"/>
    <col min="16132" max="16132" width="12.140625" style="1" customWidth="1"/>
    <col min="16133" max="16133" width="13.7109375" style="1" customWidth="1"/>
    <col min="16134" max="16134" width="8.5703125" style="1" customWidth="1"/>
    <col min="16135" max="16135" width="13" style="1" customWidth="1"/>
    <col min="16136" max="16136" width="9" style="1" customWidth="1"/>
    <col min="16137" max="16137" width="6.7109375" style="1" customWidth="1"/>
    <col min="16138" max="16138" width="9" style="1" customWidth="1"/>
    <col min="16139" max="16139" width="6.85546875" style="1" customWidth="1"/>
    <col min="16140" max="16140" width="10.5703125" style="1" customWidth="1"/>
    <col min="16141" max="16141" width="12.28515625" style="1" customWidth="1"/>
    <col min="16142" max="16142" width="12.5703125" style="1" customWidth="1"/>
    <col min="16143" max="16143" width="1.5703125" style="1" customWidth="1"/>
    <col min="16144" max="16144" width="45.140625" style="1" customWidth="1"/>
    <col min="16145" max="16145" width="13.140625" style="1" customWidth="1"/>
    <col min="16146" max="16146" width="10.28515625" style="1" bestFit="1" customWidth="1"/>
    <col min="16147" max="16147" width="16.28515625" style="1" bestFit="1" customWidth="1"/>
    <col min="16148" max="16148" width="11.28515625" style="1" bestFit="1" customWidth="1"/>
    <col min="16149" max="16384" width="9.140625" style="1"/>
  </cols>
  <sheetData>
    <row r="1" spans="3:32" x14ac:dyDescent="0.25">
      <c r="C1" s="307" t="s">
        <v>0</v>
      </c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</row>
    <row r="2" spans="3:32" x14ac:dyDescent="0.25">
      <c r="C2" s="308" t="s">
        <v>100</v>
      </c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</row>
    <row r="3" spans="3:32" s="12" customFormat="1" ht="63.75" thickBot="1" x14ac:dyDescent="0.3">
      <c r="C3" s="214" t="s">
        <v>2</v>
      </c>
      <c r="D3" s="215" t="s">
        <v>3</v>
      </c>
      <c r="E3" s="216" t="s">
        <v>4</v>
      </c>
      <c r="F3" s="217" t="s">
        <v>5</v>
      </c>
      <c r="G3" s="218"/>
      <c r="H3" s="218"/>
      <c r="I3" s="218"/>
      <c r="J3" s="218"/>
      <c r="K3" s="218"/>
      <c r="L3" s="219" t="s">
        <v>6</v>
      </c>
      <c r="M3" s="219" t="s">
        <v>7</v>
      </c>
      <c r="N3" s="220"/>
      <c r="O3" s="220"/>
      <c r="P3" s="309" t="s">
        <v>8</v>
      </c>
      <c r="Q3" s="309"/>
      <c r="R3" s="309"/>
      <c r="S3" s="217" t="s">
        <v>9</v>
      </c>
      <c r="T3" s="217" t="s">
        <v>10</v>
      </c>
      <c r="U3" s="217"/>
      <c r="V3" s="217" t="s">
        <v>11</v>
      </c>
      <c r="W3" s="217" t="s">
        <v>12</v>
      </c>
      <c r="X3" s="221" t="s">
        <v>13</v>
      </c>
      <c r="Y3" s="222" t="s">
        <v>14</v>
      </c>
      <c r="Z3" s="222" t="s">
        <v>15</v>
      </c>
      <c r="AA3" s="217" t="s">
        <v>1140</v>
      </c>
      <c r="AB3" s="309" t="s">
        <v>17</v>
      </c>
      <c r="AC3" s="309"/>
      <c r="AD3" s="217" t="s">
        <v>18</v>
      </c>
      <c r="AE3" s="216" t="s">
        <v>19</v>
      </c>
      <c r="AF3" s="216" t="s">
        <v>13</v>
      </c>
    </row>
    <row r="4" spans="3:32" ht="16.5" thickBot="1" x14ac:dyDescent="0.3">
      <c r="C4" s="13"/>
      <c r="D4" s="38" t="s">
        <v>25</v>
      </c>
      <c r="E4" s="39"/>
      <c r="F4" s="39"/>
      <c r="G4" s="39"/>
      <c r="H4" s="40"/>
      <c r="I4" s="17"/>
      <c r="J4" s="25"/>
      <c r="K4" s="18"/>
      <c r="L4" s="19"/>
      <c r="M4" s="19"/>
      <c r="N4" s="20"/>
      <c r="O4" s="20"/>
      <c r="P4" s="20"/>
      <c r="Q4" s="20"/>
      <c r="R4" s="17"/>
      <c r="S4" s="21"/>
      <c r="T4" s="34"/>
      <c r="U4" s="35"/>
      <c r="V4" s="35"/>
      <c r="W4" s="45"/>
      <c r="X4" s="23"/>
      <c r="Y4" s="30"/>
      <c r="Z4" s="30"/>
      <c r="AA4" s="22"/>
      <c r="AB4" s="22"/>
      <c r="AC4" s="30"/>
      <c r="AD4" s="22"/>
      <c r="AE4" s="31">
        <f t="shared" ref="AE4:AE47" si="0">AC4+Z4+AD4</f>
        <v>0</v>
      </c>
      <c r="AF4" s="22"/>
    </row>
    <row r="5" spans="3:32" x14ac:dyDescent="0.25">
      <c r="C5" s="13" t="s">
        <v>20</v>
      </c>
      <c r="D5" s="94" t="s">
        <v>63</v>
      </c>
      <c r="E5" s="91" t="s">
        <v>64</v>
      </c>
      <c r="F5" s="14" t="s">
        <v>28</v>
      </c>
      <c r="G5" s="16">
        <v>7843.4999999999982</v>
      </c>
      <c r="H5" s="17">
        <v>3734.9999999999991</v>
      </c>
      <c r="I5" s="17">
        <v>622.5</v>
      </c>
      <c r="J5" s="25">
        <v>622.5</v>
      </c>
      <c r="K5" s="18"/>
      <c r="L5" s="19">
        <f>SUM(G5:K5)</f>
        <v>12823.499999999996</v>
      </c>
      <c r="M5" s="19" t="s">
        <v>22</v>
      </c>
      <c r="N5" s="20">
        <v>0</v>
      </c>
      <c r="O5" s="20"/>
      <c r="P5" s="20"/>
      <c r="Q5" s="20"/>
      <c r="R5" s="17">
        <f>L5/30*P5</f>
        <v>0</v>
      </c>
      <c r="S5" s="21">
        <f>L5+N5+O5-R5</f>
        <v>12823.499999999996</v>
      </c>
      <c r="T5" s="22">
        <v>31</v>
      </c>
      <c r="U5" s="22"/>
      <c r="V5" s="86" t="s">
        <v>91</v>
      </c>
      <c r="W5" s="45" t="s">
        <v>92</v>
      </c>
      <c r="X5" s="23"/>
      <c r="Y5" s="95">
        <v>18312</v>
      </c>
      <c r="Z5" s="30">
        <v>256368</v>
      </c>
      <c r="AA5" s="30">
        <v>12823.499999999996</v>
      </c>
      <c r="AB5" s="22">
        <v>60</v>
      </c>
      <c r="AC5" s="30">
        <v>36624</v>
      </c>
      <c r="AD5" s="21">
        <v>5000</v>
      </c>
      <c r="AE5" s="31">
        <f>AC5+Z5+AD5</f>
        <v>297992</v>
      </c>
      <c r="AF5" s="22"/>
    </row>
    <row r="6" spans="3:32" x14ac:dyDescent="0.25">
      <c r="C6" s="13" t="s">
        <v>23</v>
      </c>
      <c r="D6" s="94" t="s">
        <v>65</v>
      </c>
      <c r="E6" s="86" t="s">
        <v>27</v>
      </c>
      <c r="F6" s="14"/>
      <c r="G6" s="16"/>
      <c r="H6" s="17"/>
      <c r="I6" s="17"/>
      <c r="J6" s="25"/>
      <c r="K6" s="18"/>
      <c r="L6" s="19">
        <v>11330</v>
      </c>
      <c r="M6" s="19"/>
      <c r="N6" s="20"/>
      <c r="O6" s="20"/>
      <c r="P6" s="20"/>
      <c r="Q6" s="20"/>
      <c r="R6" s="17"/>
      <c r="S6" s="21"/>
      <c r="T6" s="22"/>
      <c r="U6" s="22"/>
      <c r="V6" s="86" t="s">
        <v>67</v>
      </c>
      <c r="W6" s="45" t="s">
        <v>93</v>
      </c>
      <c r="X6" s="23"/>
      <c r="Y6" s="95">
        <v>11354</v>
      </c>
      <c r="Z6" s="30">
        <v>158956</v>
      </c>
      <c r="AA6" s="30">
        <v>11330</v>
      </c>
      <c r="AB6" s="22">
        <v>60</v>
      </c>
      <c r="AC6" s="30">
        <v>22708</v>
      </c>
      <c r="AD6" s="21">
        <v>3600</v>
      </c>
      <c r="AE6" s="31">
        <f>AC6+Z6+AD6</f>
        <v>185264</v>
      </c>
      <c r="AF6" s="22"/>
    </row>
    <row r="7" spans="3:32" x14ac:dyDescent="0.25">
      <c r="C7" s="13" t="s">
        <v>26</v>
      </c>
      <c r="D7" s="94" t="s">
        <v>66</v>
      </c>
      <c r="E7" s="86" t="s">
        <v>27</v>
      </c>
      <c r="F7" s="15"/>
      <c r="G7" s="16"/>
      <c r="H7" s="17"/>
      <c r="I7" s="17"/>
      <c r="J7" s="25"/>
      <c r="K7" s="18"/>
      <c r="L7" s="41"/>
      <c r="M7" s="19"/>
      <c r="N7" s="20"/>
      <c r="O7" s="20"/>
      <c r="P7" s="20"/>
      <c r="Q7" s="20"/>
      <c r="R7" s="17">
        <f>L7/30*P7</f>
        <v>0</v>
      </c>
      <c r="S7" s="21">
        <f>L7+N7+O7-R7</f>
        <v>0</v>
      </c>
      <c r="T7" s="22"/>
      <c r="U7" s="22"/>
      <c r="V7" s="86" t="s">
        <v>68</v>
      </c>
      <c r="W7" s="45" t="s">
        <v>94</v>
      </c>
      <c r="X7" s="23"/>
      <c r="Y7" s="95">
        <v>11292</v>
      </c>
      <c r="Z7" s="30">
        <v>180672</v>
      </c>
      <c r="AA7" s="68">
        <v>18461.947887499995</v>
      </c>
      <c r="AB7" s="22">
        <v>60</v>
      </c>
      <c r="AC7" s="30">
        <v>22584</v>
      </c>
      <c r="AD7" s="22">
        <v>2200</v>
      </c>
      <c r="AE7" s="31">
        <f>AC7+Z7+AD7</f>
        <v>205456</v>
      </c>
      <c r="AF7" s="22"/>
    </row>
    <row r="8" spans="3:32" x14ac:dyDescent="0.25">
      <c r="C8" s="13" t="s">
        <v>29</v>
      </c>
      <c r="D8" s="92" t="s">
        <v>212</v>
      </c>
      <c r="E8" s="86" t="s">
        <v>27</v>
      </c>
      <c r="F8" s="15"/>
      <c r="G8" s="16"/>
      <c r="H8" s="17"/>
      <c r="I8" s="17"/>
      <c r="J8" s="25"/>
      <c r="K8" s="18"/>
      <c r="L8" s="41"/>
      <c r="M8" s="19"/>
      <c r="N8" s="20"/>
      <c r="O8" s="20"/>
      <c r="P8" s="20"/>
      <c r="Q8" s="20"/>
      <c r="R8" s="17"/>
      <c r="S8" s="21"/>
      <c r="T8" s="22"/>
      <c r="U8" s="22"/>
      <c r="V8" s="86" t="s">
        <v>216</v>
      </c>
      <c r="W8" s="45" t="s">
        <v>1087</v>
      </c>
      <c r="X8" s="23"/>
      <c r="Y8" s="95">
        <v>12475</v>
      </c>
      <c r="Z8" s="30">
        <v>286925</v>
      </c>
      <c r="AA8" s="68"/>
      <c r="AB8" s="22">
        <v>60</v>
      </c>
      <c r="AC8" s="21">
        <v>24950</v>
      </c>
      <c r="AD8" s="22">
        <v>1500</v>
      </c>
      <c r="AE8" s="31">
        <f t="shared" si="0"/>
        <v>313375</v>
      </c>
      <c r="AF8" s="22"/>
    </row>
    <row r="9" spans="3:32" x14ac:dyDescent="0.25">
      <c r="C9" s="13" t="s">
        <v>31</v>
      </c>
      <c r="D9" s="92" t="s">
        <v>222</v>
      </c>
      <c r="E9" s="86" t="s">
        <v>27</v>
      </c>
      <c r="F9" s="15"/>
      <c r="G9" s="16"/>
      <c r="H9" s="17"/>
      <c r="I9" s="17"/>
      <c r="J9" s="25"/>
      <c r="K9" s="18"/>
      <c r="L9" s="41"/>
      <c r="M9" s="19"/>
      <c r="N9" s="20"/>
      <c r="O9" s="20"/>
      <c r="P9" s="20"/>
      <c r="Q9" s="20"/>
      <c r="R9" s="17"/>
      <c r="S9" s="21"/>
      <c r="T9" s="22"/>
      <c r="U9" s="22"/>
      <c r="V9" s="86" t="s">
        <v>216</v>
      </c>
      <c r="W9" s="45" t="s">
        <v>1087</v>
      </c>
      <c r="X9" s="23"/>
      <c r="Y9" s="95">
        <v>12976</v>
      </c>
      <c r="Z9" s="30">
        <v>298448</v>
      </c>
      <c r="AA9" s="68"/>
      <c r="AB9" s="22">
        <v>60</v>
      </c>
      <c r="AC9" s="21">
        <v>25952</v>
      </c>
      <c r="AD9" s="22">
        <v>1500</v>
      </c>
      <c r="AE9" s="31">
        <f t="shared" si="0"/>
        <v>325900</v>
      </c>
      <c r="AF9" s="22"/>
    </row>
    <row r="10" spans="3:32" x14ac:dyDescent="0.25">
      <c r="C10" s="13"/>
      <c r="D10" s="93"/>
      <c r="E10" s="86"/>
      <c r="F10" s="15"/>
      <c r="G10" s="16"/>
      <c r="H10" s="17"/>
      <c r="I10" s="17"/>
      <c r="J10" s="25"/>
      <c r="K10" s="18"/>
      <c r="L10" s="41"/>
      <c r="M10" s="19"/>
      <c r="N10" s="20"/>
      <c r="O10" s="20"/>
      <c r="P10" s="20"/>
      <c r="Q10" s="20"/>
      <c r="R10" s="17"/>
      <c r="S10" s="21"/>
      <c r="T10" s="22"/>
      <c r="U10" s="22"/>
      <c r="V10" s="86"/>
      <c r="W10" s="45"/>
      <c r="X10" s="23"/>
      <c r="Y10" s="95"/>
      <c r="Z10" s="30"/>
      <c r="AA10" s="68"/>
      <c r="AB10" s="22"/>
      <c r="AC10" s="30"/>
      <c r="AD10" s="22"/>
      <c r="AE10" s="31"/>
      <c r="AF10" s="22"/>
    </row>
    <row r="11" spans="3:32" x14ac:dyDescent="0.25">
      <c r="C11" s="13"/>
      <c r="D11" s="238" t="s">
        <v>369</v>
      </c>
      <c r="E11" s="86"/>
      <c r="F11" s="15"/>
      <c r="G11" s="16"/>
      <c r="H11" s="17"/>
      <c r="I11" s="17"/>
      <c r="J11" s="25"/>
      <c r="K11" s="18"/>
      <c r="L11" s="41"/>
      <c r="M11" s="19"/>
      <c r="N11" s="20"/>
      <c r="O11" s="20"/>
      <c r="P11" s="20"/>
      <c r="Q11" s="20"/>
      <c r="R11" s="17"/>
      <c r="S11" s="21"/>
      <c r="T11" s="22"/>
      <c r="U11" s="22"/>
      <c r="V11" s="86"/>
      <c r="W11" s="45"/>
      <c r="X11" s="23"/>
      <c r="Y11" s="95"/>
      <c r="Z11" s="30"/>
      <c r="AA11" s="68"/>
      <c r="AB11" s="22"/>
      <c r="AC11" s="30"/>
      <c r="AD11" s="22"/>
      <c r="AE11" s="31"/>
      <c r="AF11" s="22"/>
    </row>
    <row r="12" spans="3:32" x14ac:dyDescent="0.25">
      <c r="C12" s="13" t="s">
        <v>33</v>
      </c>
      <c r="D12" s="92" t="s">
        <v>371</v>
      </c>
      <c r="E12" s="86" t="s">
        <v>372</v>
      </c>
      <c r="F12" s="15"/>
      <c r="G12" s="16"/>
      <c r="H12" s="17"/>
      <c r="I12" s="17"/>
      <c r="J12" s="25"/>
      <c r="K12" s="18"/>
      <c r="L12" s="41"/>
      <c r="M12" s="19"/>
      <c r="N12" s="20"/>
      <c r="O12" s="20"/>
      <c r="P12" s="20"/>
      <c r="Q12" s="20"/>
      <c r="R12" s="17"/>
      <c r="S12" s="21"/>
      <c r="T12" s="22"/>
      <c r="U12" s="22"/>
      <c r="V12" s="86" t="s">
        <v>375</v>
      </c>
      <c r="W12" s="45" t="s">
        <v>1098</v>
      </c>
      <c r="X12" s="23"/>
      <c r="Y12" s="95">
        <v>11976</v>
      </c>
      <c r="Z12" s="30">
        <v>155688</v>
      </c>
      <c r="AA12" s="68"/>
      <c r="AB12" s="22">
        <v>60</v>
      </c>
      <c r="AC12" s="21">
        <v>23952</v>
      </c>
      <c r="AD12" s="22">
        <v>5000</v>
      </c>
      <c r="AE12" s="31">
        <f t="shared" si="0"/>
        <v>184640</v>
      </c>
      <c r="AF12" s="22"/>
    </row>
    <row r="13" spans="3:32" ht="30" x14ac:dyDescent="0.25">
      <c r="C13" s="13" t="s">
        <v>35</v>
      </c>
      <c r="D13" s="92" t="s">
        <v>378</v>
      </c>
      <c r="E13" s="86" t="s">
        <v>379</v>
      </c>
      <c r="F13" s="15"/>
      <c r="G13" s="16"/>
      <c r="H13" s="17"/>
      <c r="I13" s="17"/>
      <c r="J13" s="25"/>
      <c r="K13" s="18"/>
      <c r="L13" s="41"/>
      <c r="M13" s="19"/>
      <c r="N13" s="20"/>
      <c r="O13" s="20"/>
      <c r="P13" s="20"/>
      <c r="Q13" s="20"/>
      <c r="R13" s="17"/>
      <c r="S13" s="21"/>
      <c r="T13" s="22"/>
      <c r="U13" s="22"/>
      <c r="V13" s="86" t="s">
        <v>382</v>
      </c>
      <c r="W13" s="45" t="s">
        <v>1099</v>
      </c>
      <c r="X13" s="23"/>
      <c r="Y13" s="95">
        <v>8864</v>
      </c>
      <c r="Z13" s="30">
        <v>106368</v>
      </c>
      <c r="AA13" s="68"/>
      <c r="AB13" s="22">
        <v>60</v>
      </c>
      <c r="AC13" s="21">
        <v>17728</v>
      </c>
      <c r="AD13" s="22"/>
      <c r="AE13" s="31">
        <f t="shared" si="0"/>
        <v>124096</v>
      </c>
      <c r="AF13" s="22"/>
    </row>
    <row r="14" spans="3:32" ht="16.5" thickBot="1" x14ac:dyDescent="0.3">
      <c r="C14" s="13"/>
      <c r="D14" s="93"/>
      <c r="E14" s="86"/>
      <c r="F14" s="15"/>
      <c r="G14" s="16"/>
      <c r="H14" s="17"/>
      <c r="I14" s="17"/>
      <c r="J14" s="25"/>
      <c r="K14" s="18"/>
      <c r="L14" s="41"/>
      <c r="M14" s="19"/>
      <c r="N14" s="20"/>
      <c r="O14" s="20"/>
      <c r="P14" s="20"/>
      <c r="Q14" s="20"/>
      <c r="R14" s="17"/>
      <c r="S14" s="21"/>
      <c r="T14" s="22"/>
      <c r="U14" s="22"/>
      <c r="V14" s="86"/>
      <c r="W14" s="45"/>
      <c r="X14" s="23"/>
      <c r="Y14" s="22"/>
      <c r="Z14" s="30"/>
      <c r="AA14" s="22"/>
      <c r="AB14" s="22"/>
      <c r="AC14" s="30"/>
      <c r="AD14" s="22"/>
      <c r="AE14" s="31">
        <f t="shared" si="0"/>
        <v>0</v>
      </c>
      <c r="AF14" s="22"/>
    </row>
    <row r="15" spans="3:32" ht="16.5" thickBot="1" x14ac:dyDescent="0.3">
      <c r="C15" s="13"/>
      <c r="D15" s="38" t="s">
        <v>71</v>
      </c>
      <c r="E15" s="86"/>
      <c r="F15" s="15"/>
      <c r="G15" s="16"/>
      <c r="H15" s="17"/>
      <c r="I15" s="17"/>
      <c r="J15" s="25"/>
      <c r="K15" s="18"/>
      <c r="L15" s="41"/>
      <c r="M15" s="19"/>
      <c r="N15" s="20"/>
      <c r="O15" s="20"/>
      <c r="P15" s="20"/>
      <c r="Q15" s="20"/>
      <c r="R15" s="17"/>
      <c r="S15" s="21"/>
      <c r="T15" s="22"/>
      <c r="U15" s="22"/>
      <c r="V15" s="86"/>
      <c r="W15" s="45"/>
      <c r="X15" s="23"/>
      <c r="Y15" s="22"/>
      <c r="Z15" s="30"/>
      <c r="AA15" s="22"/>
      <c r="AB15" s="22"/>
      <c r="AC15" s="30"/>
      <c r="AD15" s="22"/>
      <c r="AE15" s="31">
        <f t="shared" si="0"/>
        <v>0</v>
      </c>
      <c r="AF15" s="22"/>
    </row>
    <row r="16" spans="3:32" x14ac:dyDescent="0.25">
      <c r="C16" s="13" t="s">
        <v>36</v>
      </c>
      <c r="D16" s="94" t="s">
        <v>69</v>
      </c>
      <c r="E16" s="91" t="s">
        <v>70</v>
      </c>
      <c r="F16" s="15"/>
      <c r="G16" s="16"/>
      <c r="H16" s="17"/>
      <c r="I16" s="17"/>
      <c r="J16" s="25"/>
      <c r="K16" s="18"/>
      <c r="L16" s="41"/>
      <c r="M16" s="19"/>
      <c r="N16" s="20"/>
      <c r="O16" s="20"/>
      <c r="P16" s="20"/>
      <c r="Q16" s="20"/>
      <c r="R16" s="17"/>
      <c r="S16" s="21"/>
      <c r="T16" s="22"/>
      <c r="U16" s="22"/>
      <c r="V16" s="86" t="s">
        <v>72</v>
      </c>
      <c r="W16" s="45" t="s">
        <v>95</v>
      </c>
      <c r="X16" s="23"/>
      <c r="Y16" s="95">
        <v>15000</v>
      </c>
      <c r="Z16" s="30"/>
      <c r="AA16" s="22">
        <v>25000</v>
      </c>
      <c r="AB16" s="22">
        <v>5</v>
      </c>
      <c r="AC16" s="30">
        <v>2500</v>
      </c>
      <c r="AD16" s="22"/>
      <c r="AE16" s="31">
        <f t="shared" si="0"/>
        <v>2500</v>
      </c>
      <c r="AF16" s="22"/>
    </row>
    <row r="17" spans="3:32" ht="16.5" thickBot="1" x14ac:dyDescent="0.3">
      <c r="C17" s="13"/>
      <c r="D17" s="93"/>
      <c r="E17" s="91"/>
      <c r="F17" s="15"/>
      <c r="G17" s="16"/>
      <c r="H17" s="17"/>
      <c r="I17" s="17"/>
      <c r="J17" s="25"/>
      <c r="K17" s="18"/>
      <c r="L17" s="41"/>
      <c r="M17" s="19"/>
      <c r="N17" s="20"/>
      <c r="O17" s="20"/>
      <c r="P17" s="20"/>
      <c r="Q17" s="20"/>
      <c r="R17" s="17"/>
      <c r="S17" s="21"/>
      <c r="T17" s="22"/>
      <c r="U17" s="22"/>
      <c r="V17" s="86"/>
      <c r="W17" s="45"/>
      <c r="X17" s="23"/>
      <c r="Y17" s="22"/>
      <c r="Z17" s="30"/>
      <c r="AA17" s="22"/>
      <c r="AB17" s="22"/>
      <c r="AC17" s="30"/>
      <c r="AD17" s="22"/>
      <c r="AE17" s="31">
        <f t="shared" si="0"/>
        <v>0</v>
      </c>
      <c r="AF17" s="22"/>
    </row>
    <row r="18" spans="3:32" ht="16.5" thickBot="1" x14ac:dyDescent="0.3">
      <c r="C18" s="13"/>
      <c r="D18" s="38" t="s">
        <v>75</v>
      </c>
      <c r="E18" s="91"/>
      <c r="F18" s="15"/>
      <c r="G18" s="16"/>
      <c r="H18" s="17"/>
      <c r="I18" s="17"/>
      <c r="J18" s="25"/>
      <c r="K18" s="18"/>
      <c r="L18" s="41"/>
      <c r="M18" s="19"/>
      <c r="N18" s="20"/>
      <c r="O18" s="20"/>
      <c r="P18" s="20"/>
      <c r="Q18" s="20"/>
      <c r="R18" s="17"/>
      <c r="S18" s="21"/>
      <c r="T18" s="22"/>
      <c r="U18" s="22"/>
      <c r="V18" s="86"/>
      <c r="W18" s="45"/>
      <c r="X18" s="23"/>
      <c r="Y18" s="22"/>
      <c r="Z18" s="30"/>
      <c r="AA18" s="22"/>
      <c r="AB18" s="22"/>
      <c r="AC18" s="30"/>
      <c r="AD18" s="22"/>
      <c r="AE18" s="31">
        <f t="shared" si="0"/>
        <v>0</v>
      </c>
      <c r="AF18" s="22"/>
    </row>
    <row r="19" spans="3:32" x14ac:dyDescent="0.25">
      <c r="C19" s="13" t="s">
        <v>38</v>
      </c>
      <c r="D19" s="94" t="s">
        <v>73</v>
      </c>
      <c r="E19" s="86" t="s">
        <v>74</v>
      </c>
      <c r="F19" s="15"/>
      <c r="G19" s="16"/>
      <c r="H19" s="17"/>
      <c r="I19" s="17"/>
      <c r="J19" s="25"/>
      <c r="K19" s="18"/>
      <c r="L19" s="41"/>
      <c r="M19" s="19"/>
      <c r="N19" s="20"/>
      <c r="O19" s="20"/>
      <c r="P19" s="20"/>
      <c r="Q19" s="20"/>
      <c r="R19" s="17"/>
      <c r="S19" s="21"/>
      <c r="T19" s="22"/>
      <c r="U19" s="22"/>
      <c r="V19" s="86" t="s">
        <v>76</v>
      </c>
      <c r="W19" s="45" t="s">
        <v>96</v>
      </c>
      <c r="X19" s="23"/>
      <c r="Y19" s="95">
        <v>15154</v>
      </c>
      <c r="Z19" s="30">
        <v>333388</v>
      </c>
      <c r="AA19" s="68">
        <v>24775.648840000005</v>
      </c>
      <c r="AB19" s="22">
        <v>60</v>
      </c>
      <c r="AC19" s="30">
        <v>30308</v>
      </c>
      <c r="AD19" s="22">
        <v>2000</v>
      </c>
      <c r="AE19" s="31">
        <f t="shared" si="0"/>
        <v>365696</v>
      </c>
      <c r="AF19" s="22"/>
    </row>
    <row r="20" spans="3:32" ht="16.5" thickBot="1" x14ac:dyDescent="0.3">
      <c r="C20" s="13"/>
      <c r="D20" s="93"/>
      <c r="E20" s="86"/>
      <c r="F20" s="15"/>
      <c r="G20" s="16"/>
      <c r="H20" s="17"/>
      <c r="I20" s="17"/>
      <c r="J20" s="25"/>
      <c r="K20" s="18"/>
      <c r="L20" s="41"/>
      <c r="M20" s="19"/>
      <c r="N20" s="20"/>
      <c r="O20" s="20"/>
      <c r="P20" s="20"/>
      <c r="Q20" s="20"/>
      <c r="R20" s="17"/>
      <c r="S20" s="21"/>
      <c r="T20" s="22"/>
      <c r="U20" s="22"/>
      <c r="V20" s="86"/>
      <c r="W20" s="45"/>
      <c r="X20" s="23"/>
      <c r="Y20" s="22"/>
      <c r="Z20" s="30"/>
      <c r="AA20" s="22"/>
      <c r="AB20" s="22"/>
      <c r="AC20" s="30"/>
      <c r="AD20" s="22"/>
      <c r="AE20" s="31">
        <f t="shared" si="0"/>
        <v>0</v>
      </c>
      <c r="AF20" s="22"/>
    </row>
    <row r="21" spans="3:32" ht="16.5" thickBot="1" x14ac:dyDescent="0.3">
      <c r="C21" s="13"/>
      <c r="D21" s="38" t="s">
        <v>77</v>
      </c>
      <c r="E21" s="86"/>
      <c r="F21" s="15"/>
      <c r="G21" s="16"/>
      <c r="H21" s="17"/>
      <c r="I21" s="17"/>
      <c r="J21" s="25"/>
      <c r="K21" s="18"/>
      <c r="L21" s="41"/>
      <c r="M21" s="19"/>
      <c r="N21" s="20"/>
      <c r="O21" s="20"/>
      <c r="P21" s="20"/>
      <c r="Q21" s="20"/>
      <c r="R21" s="17"/>
      <c r="S21" s="21"/>
      <c r="T21" s="22"/>
      <c r="U21" s="22"/>
      <c r="V21" s="86"/>
      <c r="W21" s="45"/>
      <c r="X21" s="23"/>
      <c r="Y21" s="22"/>
      <c r="Z21" s="30"/>
      <c r="AA21" s="22"/>
      <c r="AB21" s="22"/>
      <c r="AC21" s="30"/>
      <c r="AD21" s="22"/>
      <c r="AE21" s="31">
        <f t="shared" si="0"/>
        <v>0</v>
      </c>
      <c r="AF21" s="22"/>
    </row>
    <row r="22" spans="3:32" x14ac:dyDescent="0.25">
      <c r="C22" s="13" t="s">
        <v>40</v>
      </c>
      <c r="D22" s="94" t="s">
        <v>78</v>
      </c>
      <c r="E22" s="86" t="s">
        <v>79</v>
      </c>
      <c r="F22" s="15"/>
      <c r="G22" s="16"/>
      <c r="H22" s="17"/>
      <c r="I22" s="17"/>
      <c r="J22" s="25"/>
      <c r="K22" s="18"/>
      <c r="L22" s="41"/>
      <c r="M22" s="19"/>
      <c r="N22" s="20"/>
      <c r="O22" s="20"/>
      <c r="P22" s="20"/>
      <c r="Q22" s="20"/>
      <c r="R22" s="17"/>
      <c r="S22" s="21"/>
      <c r="T22" s="22"/>
      <c r="U22" s="22"/>
      <c r="V22" s="86" t="s">
        <v>80</v>
      </c>
      <c r="W22" s="45" t="s">
        <v>97</v>
      </c>
      <c r="X22" s="23"/>
      <c r="Y22" s="95">
        <v>12600</v>
      </c>
      <c r="Z22" s="30">
        <v>264600</v>
      </c>
      <c r="AA22" s="158">
        <v>21000.199999999997</v>
      </c>
      <c r="AB22" s="22">
        <v>60</v>
      </c>
      <c r="AC22" s="30">
        <v>25200</v>
      </c>
      <c r="AD22" s="22">
        <v>2500</v>
      </c>
      <c r="AE22" s="31">
        <f t="shared" si="0"/>
        <v>292300</v>
      </c>
      <c r="AF22" s="22"/>
    </row>
    <row r="23" spans="3:32" ht="16.5" thickBot="1" x14ac:dyDescent="0.3">
      <c r="C23" s="13"/>
      <c r="D23" s="93"/>
      <c r="E23" s="86"/>
      <c r="F23" s="15"/>
      <c r="G23" s="16"/>
      <c r="H23" s="17"/>
      <c r="I23" s="17"/>
      <c r="J23" s="25"/>
      <c r="K23" s="18"/>
      <c r="L23" s="41"/>
      <c r="M23" s="19"/>
      <c r="N23" s="20"/>
      <c r="O23" s="20"/>
      <c r="P23" s="20"/>
      <c r="Q23" s="20"/>
      <c r="R23" s="17"/>
      <c r="S23" s="21"/>
      <c r="T23" s="22"/>
      <c r="U23" s="22"/>
      <c r="V23" s="86"/>
      <c r="W23" s="45"/>
      <c r="X23" s="23"/>
      <c r="Y23" s="22"/>
      <c r="Z23" s="30"/>
      <c r="AA23" s="22"/>
      <c r="AB23" s="22"/>
      <c r="AC23" s="30"/>
      <c r="AD23" s="22"/>
      <c r="AE23" s="31">
        <f t="shared" si="0"/>
        <v>0</v>
      </c>
      <c r="AF23" s="22"/>
    </row>
    <row r="24" spans="3:32" ht="16.5" thickBot="1" x14ac:dyDescent="0.3">
      <c r="C24" s="13"/>
      <c r="D24" s="38" t="s">
        <v>47</v>
      </c>
      <c r="E24" s="86"/>
      <c r="F24" s="15"/>
      <c r="G24" s="16"/>
      <c r="H24" s="17"/>
      <c r="I24" s="17"/>
      <c r="J24" s="25"/>
      <c r="K24" s="18"/>
      <c r="L24" s="41"/>
      <c r="M24" s="19"/>
      <c r="N24" s="20"/>
      <c r="O24" s="20"/>
      <c r="P24" s="20"/>
      <c r="Q24" s="20"/>
      <c r="R24" s="17"/>
      <c r="S24" s="21"/>
      <c r="T24" s="22"/>
      <c r="U24" s="22"/>
      <c r="V24" s="86"/>
      <c r="W24" s="45"/>
      <c r="X24" s="23"/>
      <c r="Y24" s="22"/>
      <c r="Z24" s="30"/>
      <c r="AA24" s="22"/>
      <c r="AB24" s="22"/>
      <c r="AC24" s="30"/>
      <c r="AD24" s="22"/>
      <c r="AE24" s="31">
        <f t="shared" si="0"/>
        <v>0</v>
      </c>
      <c r="AF24" s="22"/>
    </row>
    <row r="25" spans="3:32" ht="30" x14ac:dyDescent="0.25">
      <c r="C25" s="13" t="s">
        <v>43</v>
      </c>
      <c r="D25" s="94" t="s">
        <v>81</v>
      </c>
      <c r="E25" s="86" t="s">
        <v>82</v>
      </c>
      <c r="F25" s="15"/>
      <c r="G25" s="16"/>
      <c r="H25" s="17"/>
      <c r="I25" s="17"/>
      <c r="J25" s="25"/>
      <c r="K25" s="18"/>
      <c r="L25" s="41"/>
      <c r="M25" s="19"/>
      <c r="N25" s="20"/>
      <c r="O25" s="20"/>
      <c r="P25" s="20"/>
      <c r="Q25" s="20"/>
      <c r="R25" s="17"/>
      <c r="S25" s="21"/>
      <c r="T25" s="22"/>
      <c r="U25" s="22"/>
      <c r="V25" s="86" t="s">
        <v>50</v>
      </c>
      <c r="W25" s="45" t="s">
        <v>98</v>
      </c>
      <c r="X25" s="23"/>
      <c r="Y25" s="95">
        <v>19735</v>
      </c>
      <c r="Z25" s="30">
        <v>315760</v>
      </c>
      <c r="AA25" s="68">
        <v>32265.913899999992</v>
      </c>
      <c r="AB25" s="22">
        <v>60</v>
      </c>
      <c r="AC25" s="30">
        <v>39470</v>
      </c>
      <c r="AD25" s="22">
        <v>4400</v>
      </c>
      <c r="AE25" s="31">
        <f t="shared" si="0"/>
        <v>359630</v>
      </c>
      <c r="AF25" s="22"/>
    </row>
    <row r="26" spans="3:32" x14ac:dyDescent="0.25">
      <c r="C26" s="13" t="s">
        <v>44</v>
      </c>
      <c r="D26" s="94" t="s">
        <v>83</v>
      </c>
      <c r="E26" s="86" t="s">
        <v>53</v>
      </c>
      <c r="F26" s="15"/>
      <c r="G26" s="16"/>
      <c r="H26" s="17"/>
      <c r="I26" s="17"/>
      <c r="J26" s="25"/>
      <c r="K26" s="18"/>
      <c r="L26" s="41"/>
      <c r="M26" s="19"/>
      <c r="N26" s="20"/>
      <c r="O26" s="20"/>
      <c r="P26" s="20"/>
      <c r="Q26" s="20"/>
      <c r="R26" s="17"/>
      <c r="S26" s="21"/>
      <c r="T26" s="22"/>
      <c r="U26" s="22"/>
      <c r="V26" s="86" t="s">
        <v>50</v>
      </c>
      <c r="W26" s="45" t="s">
        <v>98</v>
      </c>
      <c r="X26" s="23"/>
      <c r="Y26" s="95">
        <v>10893</v>
      </c>
      <c r="Z26" s="30">
        <v>174288</v>
      </c>
      <c r="AA26" s="68">
        <v>17808.833899999994</v>
      </c>
      <c r="AB26" s="22">
        <v>60</v>
      </c>
      <c r="AC26" s="30">
        <v>21786</v>
      </c>
      <c r="AD26" s="22">
        <v>2200</v>
      </c>
      <c r="AE26" s="31">
        <f t="shared" si="0"/>
        <v>198274</v>
      </c>
      <c r="AF26" s="22"/>
    </row>
    <row r="27" spans="3:32" x14ac:dyDescent="0.25">
      <c r="C27" s="13" t="s">
        <v>197</v>
      </c>
      <c r="D27" s="92" t="s">
        <v>708</v>
      </c>
      <c r="E27" s="86" t="s">
        <v>37</v>
      </c>
      <c r="F27" s="15"/>
      <c r="G27" s="16"/>
      <c r="H27" s="17"/>
      <c r="I27" s="17"/>
      <c r="J27" s="25"/>
      <c r="K27" s="18"/>
      <c r="L27" s="41"/>
      <c r="M27" s="19"/>
      <c r="N27" s="20"/>
      <c r="O27" s="20"/>
      <c r="P27" s="20"/>
      <c r="Q27" s="20"/>
      <c r="R27" s="17"/>
      <c r="S27" s="21"/>
      <c r="T27" s="22"/>
      <c r="U27" s="22"/>
      <c r="V27" s="86" t="s">
        <v>359</v>
      </c>
      <c r="W27" s="45" t="s">
        <v>1096</v>
      </c>
      <c r="X27" s="23"/>
      <c r="Y27" s="95">
        <v>6382</v>
      </c>
      <c r="Z27" s="30">
        <v>31910</v>
      </c>
      <c r="AA27" s="68"/>
      <c r="AB27" s="22">
        <v>28</v>
      </c>
      <c r="AC27" s="30">
        <v>5957</v>
      </c>
      <c r="AD27" s="22"/>
      <c r="AE27" s="31">
        <f t="shared" si="0"/>
        <v>37867</v>
      </c>
      <c r="AF27" s="22"/>
    </row>
    <row r="28" spans="3:32" x14ac:dyDescent="0.25">
      <c r="C28" s="13" t="s">
        <v>204</v>
      </c>
      <c r="D28" s="92" t="s">
        <v>729</v>
      </c>
      <c r="E28" s="86" t="s">
        <v>53</v>
      </c>
      <c r="F28" s="15"/>
      <c r="G28" s="16"/>
      <c r="H28" s="17"/>
      <c r="I28" s="17"/>
      <c r="J28" s="25"/>
      <c r="K28" s="18"/>
      <c r="L28" s="41"/>
      <c r="M28" s="19"/>
      <c r="N28" s="20"/>
      <c r="O28" s="20"/>
      <c r="P28" s="20"/>
      <c r="Q28" s="20"/>
      <c r="R28" s="17"/>
      <c r="S28" s="21"/>
      <c r="T28" s="22"/>
      <c r="U28" s="22"/>
      <c r="V28" s="86" t="s">
        <v>731</v>
      </c>
      <c r="W28" s="45" t="s">
        <v>1096</v>
      </c>
      <c r="X28" s="23"/>
      <c r="Y28" s="95">
        <v>6382</v>
      </c>
      <c r="Z28" s="30">
        <v>31910</v>
      </c>
      <c r="AA28" s="68"/>
      <c r="AB28" s="22">
        <v>35</v>
      </c>
      <c r="AC28" s="30">
        <v>7446</v>
      </c>
      <c r="AD28" s="22"/>
      <c r="AE28" s="31">
        <f t="shared" si="0"/>
        <v>39356</v>
      </c>
      <c r="AF28" s="22"/>
    </row>
    <row r="29" spans="3:32" x14ac:dyDescent="0.25">
      <c r="C29" s="13" t="s">
        <v>211</v>
      </c>
      <c r="D29" s="92" t="s">
        <v>734</v>
      </c>
      <c r="E29" s="86" t="s">
        <v>37</v>
      </c>
      <c r="F29" s="15"/>
      <c r="G29" s="16"/>
      <c r="H29" s="17"/>
      <c r="I29" s="17"/>
      <c r="J29" s="25"/>
      <c r="K29" s="18"/>
      <c r="L29" s="41"/>
      <c r="M29" s="19"/>
      <c r="N29" s="20"/>
      <c r="O29" s="20"/>
      <c r="P29" s="20"/>
      <c r="Q29" s="20"/>
      <c r="R29" s="17"/>
      <c r="S29" s="21"/>
      <c r="T29" s="22"/>
      <c r="U29" s="22"/>
      <c r="V29" s="86" t="s">
        <v>263</v>
      </c>
      <c r="W29" s="45" t="s">
        <v>1091</v>
      </c>
      <c r="X29" s="23"/>
      <c r="Y29" s="95">
        <v>5670</v>
      </c>
      <c r="Z29" s="30">
        <v>17010</v>
      </c>
      <c r="AA29" s="68"/>
      <c r="AB29" s="22">
        <v>23.5</v>
      </c>
      <c r="AC29" s="30">
        <v>4442</v>
      </c>
      <c r="AD29" s="22"/>
      <c r="AE29" s="31">
        <f t="shared" si="0"/>
        <v>21452</v>
      </c>
      <c r="AF29" s="22"/>
    </row>
    <row r="30" spans="3:32" x14ac:dyDescent="0.25">
      <c r="C30" s="13"/>
      <c r="D30" s="93"/>
      <c r="E30" s="86"/>
      <c r="F30" s="15"/>
      <c r="G30" s="16"/>
      <c r="H30" s="17"/>
      <c r="I30" s="17"/>
      <c r="J30" s="25"/>
      <c r="K30" s="18"/>
      <c r="L30" s="41"/>
      <c r="M30" s="19"/>
      <c r="N30" s="20"/>
      <c r="O30" s="20"/>
      <c r="P30" s="20"/>
      <c r="Q30" s="20"/>
      <c r="R30" s="17"/>
      <c r="S30" s="21"/>
      <c r="T30" s="22"/>
      <c r="U30" s="22"/>
      <c r="V30" s="86"/>
      <c r="W30" s="45"/>
      <c r="X30" s="23"/>
      <c r="Y30" s="22"/>
      <c r="Z30" s="30"/>
      <c r="AA30" s="22"/>
      <c r="AB30" s="22"/>
      <c r="AC30" s="30"/>
      <c r="AD30" s="22"/>
      <c r="AE30" s="31">
        <f t="shared" si="0"/>
        <v>0</v>
      </c>
      <c r="AF30" s="22"/>
    </row>
    <row r="31" spans="3:32" x14ac:dyDescent="0.25">
      <c r="C31" s="13"/>
      <c r="D31" s="42" t="s">
        <v>30</v>
      </c>
      <c r="E31" s="33"/>
      <c r="F31" s="22"/>
      <c r="G31" s="16"/>
      <c r="H31" s="17"/>
      <c r="I31" s="17"/>
      <c r="J31" s="25"/>
      <c r="K31" s="18"/>
      <c r="L31" s="19"/>
      <c r="M31" s="19"/>
      <c r="N31" s="20"/>
      <c r="O31" s="20"/>
      <c r="P31" s="20"/>
      <c r="Q31" s="20"/>
      <c r="R31" s="17"/>
      <c r="S31" s="21"/>
      <c r="T31" s="34"/>
      <c r="U31" s="35"/>
      <c r="V31" s="35"/>
      <c r="W31" s="45"/>
      <c r="X31" s="23"/>
      <c r="Y31" s="22"/>
      <c r="Z31" s="22"/>
      <c r="AA31" s="22"/>
      <c r="AB31" s="22"/>
      <c r="AC31" s="30"/>
      <c r="AD31" s="22"/>
      <c r="AE31" s="31">
        <f t="shared" si="0"/>
        <v>0</v>
      </c>
      <c r="AF31" s="22"/>
    </row>
    <row r="32" spans="3:32" s="32" customFormat="1" ht="30" x14ac:dyDescent="0.25">
      <c r="C32" s="13" t="s">
        <v>221</v>
      </c>
      <c r="D32" s="92" t="s">
        <v>753</v>
      </c>
      <c r="E32" s="86" t="s">
        <v>754</v>
      </c>
      <c r="F32" s="239"/>
      <c r="G32" s="239"/>
      <c r="H32" s="239"/>
      <c r="I32" s="239"/>
      <c r="J32" s="239"/>
      <c r="K32" s="239"/>
      <c r="L32" s="240"/>
      <c r="M32" s="241"/>
      <c r="N32" s="60"/>
      <c r="O32" s="61"/>
      <c r="P32" s="61"/>
      <c r="Q32" s="62"/>
      <c r="R32" s="63"/>
      <c r="S32" s="63"/>
      <c r="T32" s="64"/>
      <c r="U32" s="65"/>
      <c r="V32" s="86" t="s">
        <v>757</v>
      </c>
      <c r="W32" s="212" t="s">
        <v>1083</v>
      </c>
      <c r="X32" s="29"/>
      <c r="Y32" s="68">
        <v>16200</v>
      </c>
      <c r="Z32" s="68"/>
      <c r="AA32" s="68"/>
      <c r="AB32" s="28">
        <v>9</v>
      </c>
      <c r="AC32" s="30">
        <v>4860</v>
      </c>
      <c r="AD32" s="21"/>
      <c r="AE32" s="31">
        <f t="shared" si="0"/>
        <v>4860</v>
      </c>
      <c r="AF32" s="28"/>
    </row>
    <row r="33" spans="3:37" s="32" customFormat="1" ht="30" x14ac:dyDescent="0.25">
      <c r="C33" s="13" t="s">
        <v>227</v>
      </c>
      <c r="D33" s="92" t="s">
        <v>774</v>
      </c>
      <c r="E33" s="86" t="s">
        <v>775</v>
      </c>
      <c r="F33" s="239"/>
      <c r="G33" s="239"/>
      <c r="H33" s="239"/>
      <c r="I33" s="239"/>
      <c r="J33" s="239"/>
      <c r="K33" s="239"/>
      <c r="L33" s="240"/>
      <c r="M33" s="241"/>
      <c r="N33" s="60"/>
      <c r="O33" s="61"/>
      <c r="P33" s="61"/>
      <c r="Q33" s="62"/>
      <c r="R33" s="63"/>
      <c r="S33" s="63"/>
      <c r="T33" s="64"/>
      <c r="U33" s="65"/>
      <c r="V33" s="86" t="s">
        <v>778</v>
      </c>
      <c r="W33" s="212" t="s">
        <v>1083</v>
      </c>
      <c r="X33" s="29"/>
      <c r="Y33" s="68">
        <v>12000</v>
      </c>
      <c r="Z33" s="68"/>
      <c r="AA33" s="68"/>
      <c r="AB33" s="28">
        <v>11</v>
      </c>
      <c r="AC33" s="30">
        <v>4400</v>
      </c>
      <c r="AD33" s="21"/>
      <c r="AE33" s="31">
        <f t="shared" si="0"/>
        <v>4400</v>
      </c>
      <c r="AF33" s="28"/>
    </row>
    <row r="34" spans="3:37" s="32" customFormat="1" x14ac:dyDescent="0.25">
      <c r="C34" s="13" t="s">
        <v>231</v>
      </c>
      <c r="D34" s="92" t="s">
        <v>84</v>
      </c>
      <c r="E34" s="86" t="s">
        <v>34</v>
      </c>
      <c r="F34" s="43" t="s">
        <v>32</v>
      </c>
      <c r="G34" s="43">
        <v>15000</v>
      </c>
      <c r="H34" s="43">
        <f>G34*60%</f>
        <v>9000</v>
      </c>
      <c r="I34" s="43">
        <f>G34*30%</f>
        <v>4500</v>
      </c>
      <c r="J34" s="43">
        <f>G34*5%</f>
        <v>750</v>
      </c>
      <c r="K34" s="43">
        <f>G34*5%</f>
        <v>750</v>
      </c>
      <c r="L34" s="44">
        <v>15000</v>
      </c>
      <c r="M34" s="45" t="s">
        <v>22</v>
      </c>
      <c r="N34" s="46"/>
      <c r="O34" s="17" t="e">
        <f>M34/30*N34</f>
        <v>#VALUE!</v>
      </c>
      <c r="P34" s="17"/>
      <c r="Q34" s="47" t="e">
        <f>M34-O34-P34</f>
        <v>#VALUE!</v>
      </c>
      <c r="R34" s="48">
        <v>30</v>
      </c>
      <c r="S34" s="48" t="s">
        <v>22</v>
      </c>
      <c r="T34" s="27"/>
      <c r="U34" s="28"/>
      <c r="V34" s="86" t="s">
        <v>32</v>
      </c>
      <c r="W34" s="212" t="s">
        <v>42</v>
      </c>
      <c r="X34" s="29"/>
      <c r="Y34" s="68">
        <v>6000</v>
      </c>
      <c r="Z34" s="68"/>
      <c r="AA34" s="68">
        <v>10000</v>
      </c>
      <c r="AB34" s="28"/>
      <c r="AC34" s="30"/>
      <c r="AD34" s="21"/>
      <c r="AE34" s="31">
        <f t="shared" si="0"/>
        <v>0</v>
      </c>
      <c r="AF34" s="28"/>
    </row>
    <row r="35" spans="3:37" s="32" customFormat="1" x14ac:dyDescent="0.25">
      <c r="C35" s="13" t="s">
        <v>235</v>
      </c>
      <c r="D35" s="92" t="s">
        <v>85</v>
      </c>
      <c r="E35" s="86" t="s">
        <v>34</v>
      </c>
      <c r="F35" s="43" t="s">
        <v>32</v>
      </c>
      <c r="G35" s="43">
        <v>10000</v>
      </c>
      <c r="H35" s="43">
        <f>G35*60%</f>
        <v>6000</v>
      </c>
      <c r="I35" s="43">
        <f>G35*30%</f>
        <v>3000</v>
      </c>
      <c r="J35" s="43">
        <f>G35*5%</f>
        <v>500</v>
      </c>
      <c r="K35" s="43">
        <f>G35*5%</f>
        <v>500</v>
      </c>
      <c r="L35" s="44">
        <v>10000</v>
      </c>
      <c r="M35" s="45" t="s">
        <v>22</v>
      </c>
      <c r="N35" s="46"/>
      <c r="O35" s="17" t="e">
        <f>M35/30*N35</f>
        <v>#VALUE!</v>
      </c>
      <c r="P35" s="17"/>
      <c r="Q35" s="47" t="e">
        <f>M35-O35-P35</f>
        <v>#VALUE!</v>
      </c>
      <c r="R35" s="48">
        <v>30</v>
      </c>
      <c r="S35" s="48" t="s">
        <v>22</v>
      </c>
      <c r="T35" s="27"/>
      <c r="U35" s="28"/>
      <c r="V35" s="49" t="s">
        <v>32</v>
      </c>
      <c r="W35" s="212" t="s">
        <v>42</v>
      </c>
      <c r="X35" s="29"/>
      <c r="Y35" s="68">
        <f>L35*60%</f>
        <v>6000</v>
      </c>
      <c r="Z35" s="68"/>
      <c r="AA35" s="68">
        <v>10000</v>
      </c>
      <c r="AB35" s="28"/>
      <c r="AC35" s="30"/>
      <c r="AD35" s="21"/>
      <c r="AE35" s="31">
        <f t="shared" si="0"/>
        <v>0</v>
      </c>
      <c r="AF35" s="28"/>
    </row>
    <row r="36" spans="3:37" s="32" customFormat="1" ht="30" x14ac:dyDescent="0.25">
      <c r="C36" s="13" t="s">
        <v>241</v>
      </c>
      <c r="D36" s="92" t="s">
        <v>795</v>
      </c>
      <c r="E36" s="86" t="s">
        <v>796</v>
      </c>
      <c r="F36" s="239"/>
      <c r="G36" s="239"/>
      <c r="H36" s="239"/>
      <c r="I36" s="239"/>
      <c r="J36" s="239"/>
      <c r="K36" s="239"/>
      <c r="L36" s="240"/>
      <c r="M36" s="241"/>
      <c r="N36" s="60"/>
      <c r="O36" s="61"/>
      <c r="P36" s="61"/>
      <c r="Q36" s="62"/>
      <c r="R36" s="63"/>
      <c r="S36" s="63"/>
      <c r="T36" s="64"/>
      <c r="U36" s="65"/>
      <c r="V36" s="86" t="s">
        <v>32</v>
      </c>
      <c r="W36" s="212" t="s">
        <v>42</v>
      </c>
      <c r="X36" s="29"/>
      <c r="Y36" s="68">
        <v>7200</v>
      </c>
      <c r="Z36" s="68"/>
      <c r="AA36" s="68"/>
      <c r="AB36" s="28"/>
      <c r="AC36" s="30"/>
      <c r="AD36" s="21"/>
      <c r="AE36" s="31">
        <f t="shared" si="0"/>
        <v>0</v>
      </c>
      <c r="AF36" s="28"/>
    </row>
    <row r="37" spans="3:37" s="32" customFormat="1" x14ac:dyDescent="0.25">
      <c r="C37" s="13" t="s">
        <v>247</v>
      </c>
      <c r="D37" s="92" t="s">
        <v>822</v>
      </c>
      <c r="E37" s="86" t="s">
        <v>34</v>
      </c>
      <c r="F37" s="239"/>
      <c r="G37" s="239"/>
      <c r="H37" s="239"/>
      <c r="I37" s="239"/>
      <c r="J37" s="239"/>
      <c r="K37" s="239"/>
      <c r="L37" s="240"/>
      <c r="M37" s="241"/>
      <c r="N37" s="60"/>
      <c r="O37" s="61"/>
      <c r="P37" s="61"/>
      <c r="Q37" s="62"/>
      <c r="R37" s="63"/>
      <c r="S37" s="63"/>
      <c r="T37" s="64"/>
      <c r="U37" s="65"/>
      <c r="V37" s="86" t="s">
        <v>32</v>
      </c>
      <c r="W37" s="212" t="s">
        <v>42</v>
      </c>
      <c r="X37" s="29"/>
      <c r="Y37" s="68">
        <v>6000</v>
      </c>
      <c r="Z37" s="68"/>
      <c r="AA37" s="68"/>
      <c r="AB37" s="28"/>
      <c r="AC37" s="30"/>
      <c r="AD37" s="21"/>
      <c r="AE37" s="31">
        <f t="shared" si="0"/>
        <v>0</v>
      </c>
      <c r="AF37" s="28"/>
    </row>
    <row r="38" spans="3:37" s="32" customFormat="1" x14ac:dyDescent="0.25">
      <c r="C38" s="13" t="s">
        <v>253</v>
      </c>
      <c r="D38" s="92" t="s">
        <v>825</v>
      </c>
      <c r="E38" s="86" t="s">
        <v>34</v>
      </c>
      <c r="F38" s="239"/>
      <c r="G38" s="239"/>
      <c r="H38" s="239"/>
      <c r="I38" s="239"/>
      <c r="J38" s="239"/>
      <c r="K38" s="239"/>
      <c r="L38" s="240"/>
      <c r="M38" s="241"/>
      <c r="N38" s="60"/>
      <c r="O38" s="61"/>
      <c r="P38" s="61"/>
      <c r="Q38" s="62"/>
      <c r="R38" s="63"/>
      <c r="S38" s="63"/>
      <c r="T38" s="64"/>
      <c r="U38" s="65"/>
      <c r="V38" s="86" t="s">
        <v>32</v>
      </c>
      <c r="W38" s="212" t="s">
        <v>42</v>
      </c>
      <c r="X38" s="29"/>
      <c r="Y38" s="68">
        <v>6000</v>
      </c>
      <c r="Z38" s="68"/>
      <c r="AA38" s="68"/>
      <c r="AB38" s="28"/>
      <c r="AC38" s="30"/>
      <c r="AD38" s="21"/>
      <c r="AE38" s="31">
        <f t="shared" si="0"/>
        <v>0</v>
      </c>
      <c r="AF38" s="28"/>
    </row>
    <row r="39" spans="3:37" s="32" customFormat="1" x14ac:dyDescent="0.25">
      <c r="C39" s="13" t="s">
        <v>260</v>
      </c>
      <c r="D39" s="92" t="s">
        <v>828</v>
      </c>
      <c r="E39" s="86" t="s">
        <v>34</v>
      </c>
      <c r="F39" s="239"/>
      <c r="G39" s="239"/>
      <c r="H39" s="239"/>
      <c r="I39" s="239"/>
      <c r="J39" s="239"/>
      <c r="K39" s="239"/>
      <c r="L39" s="240"/>
      <c r="M39" s="241"/>
      <c r="N39" s="60"/>
      <c r="O39" s="61"/>
      <c r="P39" s="61"/>
      <c r="Q39" s="62"/>
      <c r="R39" s="63"/>
      <c r="S39" s="63"/>
      <c r="T39" s="64"/>
      <c r="U39" s="65"/>
      <c r="V39" s="86" t="s">
        <v>32</v>
      </c>
      <c r="W39" s="212" t="s">
        <v>42</v>
      </c>
      <c r="X39" s="29"/>
      <c r="Y39" s="68">
        <v>6000</v>
      </c>
      <c r="Z39" s="68"/>
      <c r="AA39" s="68"/>
      <c r="AB39" s="28"/>
      <c r="AC39" s="30"/>
      <c r="AD39" s="21"/>
      <c r="AE39" s="31">
        <f t="shared" si="0"/>
        <v>0</v>
      </c>
      <c r="AF39" s="28"/>
    </row>
    <row r="40" spans="3:37" s="32" customFormat="1" x14ac:dyDescent="0.25">
      <c r="C40" s="13" t="s">
        <v>267</v>
      </c>
      <c r="D40" s="92" t="s">
        <v>856</v>
      </c>
      <c r="E40" s="86" t="s">
        <v>37</v>
      </c>
      <c r="F40" s="239"/>
      <c r="G40" s="239"/>
      <c r="H40" s="239"/>
      <c r="I40" s="239"/>
      <c r="J40" s="239"/>
      <c r="K40" s="239"/>
      <c r="L40" s="240"/>
      <c r="M40" s="241"/>
      <c r="N40" s="60"/>
      <c r="O40" s="61"/>
      <c r="P40" s="61"/>
      <c r="Q40" s="62"/>
      <c r="R40" s="63"/>
      <c r="S40" s="63"/>
      <c r="T40" s="64"/>
      <c r="U40" s="65"/>
      <c r="V40" s="86" t="s">
        <v>32</v>
      </c>
      <c r="W40" s="212" t="s">
        <v>42</v>
      </c>
      <c r="X40" s="29"/>
      <c r="Y40" s="68">
        <v>5400</v>
      </c>
      <c r="Z40" s="68"/>
      <c r="AA40" s="68"/>
      <c r="AB40" s="28"/>
      <c r="AC40" s="30"/>
      <c r="AD40" s="21"/>
      <c r="AE40" s="31">
        <f t="shared" si="0"/>
        <v>0</v>
      </c>
      <c r="AF40" s="28"/>
    </row>
    <row r="41" spans="3:37" s="32" customFormat="1" x14ac:dyDescent="0.25">
      <c r="C41" s="50"/>
      <c r="D41" s="51"/>
      <c r="E41" s="52"/>
      <c r="F41" s="53"/>
      <c r="G41" s="54"/>
      <c r="H41" s="55"/>
      <c r="I41" s="56"/>
      <c r="J41" s="56"/>
      <c r="K41" s="57"/>
      <c r="L41" s="58"/>
      <c r="M41" s="59"/>
      <c r="N41" s="60"/>
      <c r="O41" s="61"/>
      <c r="P41" s="61"/>
      <c r="Q41" s="62"/>
      <c r="R41" s="63"/>
      <c r="S41" s="63"/>
      <c r="T41" s="64"/>
      <c r="U41" s="65"/>
      <c r="V41" s="65"/>
      <c r="W41" s="212"/>
      <c r="X41" s="29"/>
      <c r="Y41" s="28"/>
      <c r="Z41" s="28"/>
      <c r="AA41" s="28"/>
      <c r="AB41" s="28"/>
      <c r="AC41" s="28"/>
      <c r="AD41" s="28"/>
      <c r="AE41" s="31">
        <f t="shared" si="0"/>
        <v>0</v>
      </c>
      <c r="AF41" s="28"/>
    </row>
    <row r="42" spans="3:37" x14ac:dyDescent="0.25">
      <c r="C42" s="13"/>
      <c r="D42" s="66" t="s">
        <v>39</v>
      </c>
      <c r="E42" s="33"/>
      <c r="F42" s="22"/>
      <c r="G42" s="16"/>
      <c r="H42" s="17"/>
      <c r="I42" s="17"/>
      <c r="J42" s="25"/>
      <c r="K42" s="18"/>
      <c r="L42" s="19"/>
      <c r="M42" s="19"/>
      <c r="N42" s="20"/>
      <c r="O42" s="20"/>
      <c r="P42" s="20"/>
      <c r="Q42" s="20"/>
      <c r="R42" s="17"/>
      <c r="S42" s="21"/>
      <c r="T42" s="34"/>
      <c r="U42" s="35"/>
      <c r="V42" s="35"/>
      <c r="W42" s="45"/>
      <c r="X42" s="23"/>
      <c r="Y42" s="22"/>
      <c r="Z42" s="22"/>
      <c r="AA42" s="22"/>
      <c r="AB42" s="22"/>
      <c r="AC42" s="22"/>
      <c r="AD42" s="22"/>
      <c r="AE42" s="31">
        <f t="shared" si="0"/>
        <v>0</v>
      </c>
      <c r="AF42" s="22"/>
    </row>
    <row r="43" spans="3:37" x14ac:dyDescent="0.25">
      <c r="C43" s="13" t="s">
        <v>274</v>
      </c>
      <c r="D43" s="92" t="s">
        <v>861</v>
      </c>
      <c r="E43" s="86" t="s">
        <v>862</v>
      </c>
      <c r="F43" s="22"/>
      <c r="G43" s="16"/>
      <c r="H43" s="17"/>
      <c r="I43" s="17"/>
      <c r="J43" s="25"/>
      <c r="K43" s="18"/>
      <c r="L43" s="19"/>
      <c r="M43" s="19"/>
      <c r="N43" s="20"/>
      <c r="O43" s="20"/>
      <c r="P43" s="20"/>
      <c r="Q43" s="20"/>
      <c r="R43" s="17"/>
      <c r="S43" s="21"/>
      <c r="T43" s="34"/>
      <c r="U43" s="35"/>
      <c r="V43" s="86" t="s">
        <v>67</v>
      </c>
      <c r="W43" s="45" t="s">
        <v>93</v>
      </c>
      <c r="X43" s="23"/>
      <c r="Y43" s="68">
        <v>29417</v>
      </c>
      <c r="Z43" s="68">
        <v>411838</v>
      </c>
      <c r="AA43" s="22"/>
      <c r="AB43" s="22">
        <v>60</v>
      </c>
      <c r="AC43" s="22">
        <v>58834</v>
      </c>
      <c r="AD43" s="22">
        <v>9000</v>
      </c>
      <c r="AE43" s="31">
        <f t="shared" si="0"/>
        <v>479672</v>
      </c>
      <c r="AF43" s="22"/>
    </row>
    <row r="44" spans="3:37" x14ac:dyDescent="0.25">
      <c r="C44" s="13" t="s">
        <v>280</v>
      </c>
      <c r="D44" s="94" t="s">
        <v>86</v>
      </c>
      <c r="E44" s="86" t="s">
        <v>87</v>
      </c>
      <c r="F44" s="14" t="s">
        <v>41</v>
      </c>
      <c r="G44" s="16">
        <v>12000</v>
      </c>
      <c r="H44" s="17">
        <v>6000</v>
      </c>
      <c r="I44" s="17">
        <v>1000</v>
      </c>
      <c r="J44" s="25">
        <v>1000</v>
      </c>
      <c r="K44" s="18"/>
      <c r="L44" s="19">
        <f>SUM(G44:K44)</f>
        <v>20000</v>
      </c>
      <c r="M44" s="19" t="s">
        <v>22</v>
      </c>
      <c r="N44" s="20"/>
      <c r="O44" s="20"/>
      <c r="P44" s="20"/>
      <c r="Q44" s="20"/>
      <c r="R44" s="17"/>
      <c r="S44" s="21">
        <f>L44+N44+O44-R44</f>
        <v>20000</v>
      </c>
      <c r="T44" s="22">
        <v>31</v>
      </c>
      <c r="U44" s="22"/>
      <c r="V44" s="86" t="s">
        <v>88</v>
      </c>
      <c r="W44" s="45" t="s">
        <v>99</v>
      </c>
      <c r="X44" s="23"/>
      <c r="Y44" s="95">
        <v>14144</v>
      </c>
      <c r="Z44" s="30">
        <v>56576</v>
      </c>
      <c r="AA44" s="68">
        <v>23123.5</v>
      </c>
      <c r="AB44" s="22">
        <v>17</v>
      </c>
      <c r="AC44" s="30">
        <v>8015</v>
      </c>
      <c r="AD44" s="21"/>
      <c r="AE44" s="31">
        <f t="shared" si="0"/>
        <v>64591</v>
      </c>
      <c r="AF44" s="22"/>
    </row>
    <row r="45" spans="3:37" x14ac:dyDescent="0.25">
      <c r="C45" s="13"/>
      <c r="D45" s="242"/>
      <c r="E45" s="86"/>
      <c r="F45" s="14"/>
      <c r="G45" s="16"/>
      <c r="H45" s="17"/>
      <c r="I45" s="17"/>
      <c r="J45" s="25"/>
      <c r="K45" s="18"/>
      <c r="L45" s="19"/>
      <c r="M45" s="19"/>
      <c r="N45" s="20"/>
      <c r="O45" s="20"/>
      <c r="P45" s="20"/>
      <c r="Q45" s="20"/>
      <c r="R45" s="17"/>
      <c r="S45" s="21"/>
      <c r="T45" s="22"/>
      <c r="U45" s="22"/>
      <c r="V45" s="86"/>
      <c r="W45" s="45"/>
      <c r="X45" s="23"/>
      <c r="Y45" s="95"/>
      <c r="Z45" s="30"/>
      <c r="AA45" s="68"/>
      <c r="AB45" s="22"/>
      <c r="AC45" s="21"/>
      <c r="AD45" s="21"/>
      <c r="AE45" s="31"/>
      <c r="AF45" s="22"/>
    </row>
    <row r="46" spans="3:37" ht="16.5" thickBot="1" x14ac:dyDescent="0.3">
      <c r="C46" s="13"/>
      <c r="D46" s="245" t="s">
        <v>345</v>
      </c>
      <c r="E46" s="86"/>
      <c r="F46" s="14"/>
      <c r="G46" s="16"/>
      <c r="H46" s="17"/>
      <c r="I46" s="17"/>
      <c r="J46" s="25"/>
      <c r="K46" s="18"/>
      <c r="L46" s="19"/>
      <c r="M46" s="19"/>
      <c r="N46" s="20"/>
      <c r="O46" s="20"/>
      <c r="P46" s="20"/>
      <c r="Q46" s="20"/>
      <c r="R46" s="17"/>
      <c r="S46" s="21"/>
      <c r="T46" s="22"/>
      <c r="U46" s="22"/>
      <c r="V46" s="86"/>
      <c r="W46" s="45"/>
      <c r="X46" s="23"/>
      <c r="Y46" s="95"/>
      <c r="Z46" s="30"/>
      <c r="AA46" s="68"/>
      <c r="AB46" s="22"/>
      <c r="AC46" s="21"/>
      <c r="AD46" s="21"/>
      <c r="AE46" s="31"/>
      <c r="AF46" s="22"/>
    </row>
    <row r="47" spans="3:37" ht="30" x14ac:dyDescent="0.25">
      <c r="C47" s="13"/>
      <c r="D47" s="243" t="s">
        <v>347</v>
      </c>
      <c r="E47" s="244" t="s">
        <v>348</v>
      </c>
      <c r="F47" s="14"/>
      <c r="G47" s="16"/>
      <c r="H47" s="17"/>
      <c r="I47" s="17"/>
      <c r="J47" s="25"/>
      <c r="K47" s="18"/>
      <c r="L47" s="41"/>
      <c r="M47" s="19"/>
      <c r="N47" s="20"/>
      <c r="O47" s="20"/>
      <c r="P47" s="20"/>
      <c r="Q47" s="20"/>
      <c r="R47" s="17">
        <f>L47/30*P47</f>
        <v>0</v>
      </c>
      <c r="S47" s="21"/>
      <c r="T47" s="22"/>
      <c r="U47" s="22"/>
      <c r="V47" s="246" t="s">
        <v>352</v>
      </c>
      <c r="W47" s="45" t="s">
        <v>1095</v>
      </c>
      <c r="X47" s="23"/>
      <c r="Y47" s="68">
        <v>15749</v>
      </c>
      <c r="Z47" s="30">
        <v>141741</v>
      </c>
      <c r="AA47" s="22"/>
      <c r="AB47" s="22">
        <v>60</v>
      </c>
      <c r="AC47" s="30">
        <v>31498</v>
      </c>
      <c r="AD47" s="30">
        <v>3000</v>
      </c>
      <c r="AE47" s="31">
        <f t="shared" si="0"/>
        <v>176239</v>
      </c>
      <c r="AF47" s="22"/>
    </row>
    <row r="48" spans="3:37" x14ac:dyDescent="0.25">
      <c r="C48" s="13"/>
      <c r="D48" s="67"/>
      <c r="E48" s="14"/>
      <c r="F48" s="14"/>
      <c r="G48" s="16"/>
      <c r="H48" s="17"/>
      <c r="I48" s="17"/>
      <c r="J48" s="25"/>
      <c r="K48" s="18"/>
      <c r="L48" s="41"/>
      <c r="M48" s="19"/>
      <c r="N48" s="20"/>
      <c r="O48" s="20"/>
      <c r="P48" s="20"/>
      <c r="Q48" s="20"/>
      <c r="R48" s="17"/>
      <c r="S48" s="21"/>
      <c r="T48" s="22"/>
      <c r="U48" s="22"/>
      <c r="V48" s="22"/>
      <c r="W48" s="45"/>
      <c r="X48" s="23"/>
      <c r="Y48" s="68"/>
      <c r="Z48" s="30"/>
      <c r="AA48" s="22"/>
      <c r="AB48" s="22"/>
      <c r="AC48" s="30"/>
      <c r="AD48" s="30"/>
      <c r="AE48" s="30"/>
      <c r="AF48" s="22"/>
      <c r="AK48" s="69">
        <v>4066.2</v>
      </c>
    </row>
    <row r="49" spans="3:33" s="12" customFormat="1" x14ac:dyDescent="0.25">
      <c r="C49" s="223"/>
      <c r="D49" s="224" t="s">
        <v>48</v>
      </c>
      <c r="E49" s="225"/>
      <c r="F49" s="225"/>
      <c r="G49" s="225"/>
      <c r="H49" s="226"/>
      <c r="I49" s="226"/>
      <c r="J49" s="226"/>
      <c r="K49" s="225"/>
      <c r="L49" s="227">
        <f>SUM(L4:L48)</f>
        <v>69153.5</v>
      </c>
      <c r="M49" s="228"/>
      <c r="N49" s="226"/>
      <c r="O49" s="229"/>
      <c r="P49" s="226"/>
      <c r="Q49" s="226"/>
      <c r="R49" s="229"/>
      <c r="S49" s="225"/>
      <c r="T49" s="225"/>
      <c r="U49" s="225"/>
      <c r="V49" s="225"/>
      <c r="W49" s="216"/>
      <c r="X49" s="224"/>
      <c r="Y49" s="226">
        <f>SUM(Y5:Y47)</f>
        <v>309175</v>
      </c>
      <c r="Z49" s="226">
        <f>SUM(Z4:Z48)</f>
        <v>3222446</v>
      </c>
      <c r="AA49" s="226">
        <f>SUM(AA5:AA47)</f>
        <v>206589.54452749999</v>
      </c>
      <c r="AB49" s="225"/>
      <c r="AC49" s="226">
        <f>SUM(AC4:AC48)</f>
        <v>419214</v>
      </c>
      <c r="AD49" s="226">
        <f>SUM(AD4:AD48)</f>
        <v>41900</v>
      </c>
      <c r="AE49" s="226">
        <f>SUM(AE4:AE48)</f>
        <v>3683560</v>
      </c>
      <c r="AF49" s="225"/>
    </row>
    <row r="50" spans="3:33" x14ac:dyDescent="0.25">
      <c r="AG50" s="83"/>
    </row>
    <row r="51" spans="3:33" x14ac:dyDescent="0.25">
      <c r="AG51" s="83"/>
    </row>
    <row r="52" spans="3:33" x14ac:dyDescent="0.25">
      <c r="AD52" s="81">
        <f>Z49+AC49+AD49</f>
        <v>3683560</v>
      </c>
      <c r="AG52" s="83"/>
    </row>
    <row r="53" spans="3:33" x14ac:dyDescent="0.25">
      <c r="AG53" s="83"/>
    </row>
    <row r="54" spans="3:33" x14ac:dyDescent="0.25">
      <c r="AG54" s="83"/>
    </row>
    <row r="55" spans="3:33" x14ac:dyDescent="0.25">
      <c r="AG55" s="83"/>
    </row>
    <row r="56" spans="3:33" x14ac:dyDescent="0.25">
      <c r="AG56" s="83"/>
    </row>
    <row r="57" spans="3:33" x14ac:dyDescent="0.25">
      <c r="AG57" s="83"/>
    </row>
    <row r="58" spans="3:33" x14ac:dyDescent="0.25">
      <c r="AG58" s="83"/>
    </row>
    <row r="59" spans="3:33" x14ac:dyDescent="0.25">
      <c r="AG59" s="83"/>
    </row>
    <row r="60" spans="3:33" x14ac:dyDescent="0.25">
      <c r="AG60" s="83"/>
    </row>
    <row r="61" spans="3:33" x14ac:dyDescent="0.25">
      <c r="AG61" s="83"/>
    </row>
    <row r="62" spans="3:33" x14ac:dyDescent="0.25">
      <c r="AG62" s="83"/>
    </row>
    <row r="63" spans="3:33" x14ac:dyDescent="0.25">
      <c r="AG63" s="83"/>
    </row>
    <row r="64" spans="3:33" x14ac:dyDescent="0.25">
      <c r="AG64" s="83"/>
    </row>
    <row r="65" spans="3:33" x14ac:dyDescent="0.25">
      <c r="AG65" s="83"/>
    </row>
    <row r="66" spans="3:33" x14ac:dyDescent="0.25">
      <c r="AG66" s="83"/>
    </row>
    <row r="67" spans="3:33" x14ac:dyDescent="0.25">
      <c r="AG67" s="83"/>
    </row>
    <row r="68" spans="3:33" x14ac:dyDescent="0.25">
      <c r="AG68" s="83"/>
    </row>
    <row r="69" spans="3:33" ht="18.75" x14ac:dyDescent="0.3">
      <c r="C69" s="304" t="s">
        <v>0</v>
      </c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</row>
    <row r="70" spans="3:33" ht="18.75" x14ac:dyDescent="0.3">
      <c r="C70" s="305" t="s">
        <v>1</v>
      </c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G70" s="83"/>
    </row>
    <row r="71" spans="3:33" ht="63" x14ac:dyDescent="0.25">
      <c r="C71" s="2" t="s">
        <v>2</v>
      </c>
      <c r="D71" s="3" t="s">
        <v>3</v>
      </c>
      <c r="E71" s="4" t="s">
        <v>4</v>
      </c>
      <c r="F71" s="5" t="s">
        <v>5</v>
      </c>
      <c r="G71" s="6"/>
      <c r="H71" s="6"/>
      <c r="I71" s="6"/>
      <c r="J71" s="6"/>
      <c r="K71" s="6"/>
      <c r="L71" s="7" t="s">
        <v>6</v>
      </c>
      <c r="M71" s="7" t="s">
        <v>7</v>
      </c>
      <c r="N71" s="8"/>
      <c r="O71" s="8"/>
      <c r="P71" s="306" t="s">
        <v>8</v>
      </c>
      <c r="Q71" s="306"/>
      <c r="R71" s="306"/>
      <c r="S71" s="5" t="s">
        <v>9</v>
      </c>
      <c r="T71" s="5" t="s">
        <v>10</v>
      </c>
      <c r="U71" s="5"/>
      <c r="V71" s="5" t="s">
        <v>11</v>
      </c>
      <c r="W71" s="5" t="s">
        <v>12</v>
      </c>
      <c r="X71" s="10" t="s">
        <v>13</v>
      </c>
      <c r="Y71" s="84" t="s">
        <v>14</v>
      </c>
      <c r="Z71" s="84" t="s">
        <v>15</v>
      </c>
      <c r="AA71" s="9" t="s">
        <v>16</v>
      </c>
      <c r="AB71" s="306" t="s">
        <v>17</v>
      </c>
      <c r="AC71" s="306"/>
      <c r="AD71" s="9" t="s">
        <v>18</v>
      </c>
      <c r="AE71" s="11" t="s">
        <v>19</v>
      </c>
      <c r="AG71" s="83"/>
    </row>
    <row r="72" spans="3:33" x14ac:dyDescent="0.25">
      <c r="C72" s="13" t="s">
        <v>20</v>
      </c>
      <c r="D72" s="85" t="s">
        <v>49</v>
      </c>
      <c r="E72" s="85" t="s">
        <v>37</v>
      </c>
      <c r="F72" s="24" t="s">
        <v>21</v>
      </c>
      <c r="G72" s="16">
        <v>10800</v>
      </c>
      <c r="H72" s="17">
        <v>5400</v>
      </c>
      <c r="I72" s="17">
        <v>900</v>
      </c>
      <c r="J72" s="25">
        <v>900</v>
      </c>
      <c r="K72" s="26"/>
      <c r="L72" s="19">
        <v>17809</v>
      </c>
      <c r="M72" s="19" t="s">
        <v>22</v>
      </c>
      <c r="N72" s="18"/>
      <c r="O72" s="20"/>
      <c r="P72" s="20"/>
      <c r="Q72" s="20"/>
      <c r="R72" s="17">
        <f>L72/30*P72</f>
        <v>0</v>
      </c>
      <c r="S72" s="21">
        <f>L72+N72+O72-R72</f>
        <v>17809</v>
      </c>
      <c r="T72" s="27">
        <v>31</v>
      </c>
      <c r="U72" s="28"/>
      <c r="V72" s="86" t="s">
        <v>50</v>
      </c>
      <c r="W72" s="212" t="s">
        <v>51</v>
      </c>
      <c r="X72" s="29"/>
      <c r="Y72" s="87">
        <v>10893</v>
      </c>
      <c r="Z72" s="87">
        <f>Y72*16</f>
        <v>174288</v>
      </c>
      <c r="AA72" s="28">
        <v>1.3</v>
      </c>
      <c r="AB72" s="28">
        <v>7</v>
      </c>
      <c r="AC72" s="30">
        <f>Y72/30*60</f>
        <v>21786</v>
      </c>
      <c r="AD72" s="21">
        <v>2200</v>
      </c>
      <c r="AE72" s="31">
        <f>AD72+AC72+Z72</f>
        <v>198274</v>
      </c>
    </row>
    <row r="73" spans="3:33" x14ac:dyDescent="0.25">
      <c r="C73" s="13" t="s">
        <v>23</v>
      </c>
      <c r="D73" s="88" t="s">
        <v>52</v>
      </c>
      <c r="E73" s="88" t="s">
        <v>53</v>
      </c>
      <c r="F73" s="24"/>
      <c r="G73" s="16"/>
      <c r="H73" s="17"/>
      <c r="I73" s="17"/>
      <c r="J73" s="25"/>
      <c r="K73" s="26"/>
      <c r="L73" s="19">
        <v>9687</v>
      </c>
      <c r="M73" s="19"/>
      <c r="N73" s="18"/>
      <c r="O73" s="20"/>
      <c r="P73" s="20"/>
      <c r="Q73" s="20"/>
      <c r="R73" s="17"/>
      <c r="S73" s="21"/>
      <c r="T73" s="27"/>
      <c r="U73" s="28"/>
      <c r="V73" s="86" t="s">
        <v>54</v>
      </c>
      <c r="W73" s="212" t="s">
        <v>55</v>
      </c>
      <c r="X73" s="29"/>
      <c r="Y73" s="87">
        <v>5925</v>
      </c>
      <c r="Z73" s="87">
        <f>Y73*3</f>
        <v>17775</v>
      </c>
      <c r="AA73" s="28"/>
      <c r="AB73" s="28"/>
      <c r="AC73" s="31">
        <f>Y73/30*23</f>
        <v>4542.5</v>
      </c>
      <c r="AD73" s="28">
        <v>0</v>
      </c>
      <c r="AE73" s="31">
        <f t="shared" ref="AE73:AE75" si="1">AD73+AC73+Z73</f>
        <v>22317.5</v>
      </c>
    </row>
    <row r="74" spans="3:33" x14ac:dyDescent="0.25">
      <c r="C74" s="13" t="s">
        <v>26</v>
      </c>
      <c r="D74" s="36" t="s">
        <v>56</v>
      </c>
      <c r="E74" s="14" t="s">
        <v>57</v>
      </c>
      <c r="F74" s="14" t="s">
        <v>24</v>
      </c>
      <c r="G74" s="16">
        <v>7386.75</v>
      </c>
      <c r="H74" s="17">
        <v>3517.5</v>
      </c>
      <c r="I74" s="17">
        <v>586.25</v>
      </c>
      <c r="J74" s="25">
        <v>586.25</v>
      </c>
      <c r="K74" s="18"/>
      <c r="L74" s="19">
        <v>17432</v>
      </c>
      <c r="M74" s="19" t="s">
        <v>22</v>
      </c>
      <c r="N74" s="20">
        <v>0</v>
      </c>
      <c r="O74" s="20"/>
      <c r="P74" s="20"/>
      <c r="Q74" s="20"/>
      <c r="R74" s="17"/>
      <c r="S74" s="21">
        <f>L74+N74+O74-R74</f>
        <v>17432</v>
      </c>
      <c r="T74" s="22">
        <v>31</v>
      </c>
      <c r="U74" s="22"/>
      <c r="V74" s="86" t="s">
        <v>58</v>
      </c>
      <c r="W74" s="45" t="s">
        <v>59</v>
      </c>
      <c r="X74" s="23"/>
      <c r="Y74" s="87">
        <v>10662</v>
      </c>
      <c r="Z74" s="30">
        <f>Y74*13</f>
        <v>138606</v>
      </c>
      <c r="AA74" s="37">
        <v>4.9000000000000004</v>
      </c>
      <c r="AB74" s="22">
        <v>26</v>
      </c>
      <c r="AC74" s="30">
        <f>Y74/30*60</f>
        <v>21324</v>
      </c>
      <c r="AD74" s="21">
        <v>3300</v>
      </c>
      <c r="AE74" s="31">
        <f t="shared" si="1"/>
        <v>163230</v>
      </c>
    </row>
    <row r="75" spans="3:33" x14ac:dyDescent="0.25">
      <c r="C75" s="13" t="s">
        <v>29</v>
      </c>
      <c r="D75" s="14" t="s">
        <v>60</v>
      </c>
      <c r="E75" s="14" t="s">
        <v>57</v>
      </c>
      <c r="F75" s="15"/>
      <c r="G75" s="16"/>
      <c r="H75" s="17"/>
      <c r="I75" s="17"/>
      <c r="J75" s="25"/>
      <c r="K75" s="18"/>
      <c r="L75" s="19">
        <v>19287</v>
      </c>
      <c r="M75" s="19"/>
      <c r="N75" s="20"/>
      <c r="O75" s="20"/>
      <c r="P75" s="20"/>
      <c r="Q75" s="20"/>
      <c r="R75" s="17"/>
      <c r="S75" s="21"/>
      <c r="T75" s="22"/>
      <c r="U75" s="22"/>
      <c r="V75" s="86" t="s">
        <v>61</v>
      </c>
      <c r="W75" s="45" t="s">
        <v>62</v>
      </c>
      <c r="X75" s="23"/>
      <c r="Y75" s="87">
        <v>11797</v>
      </c>
      <c r="Z75" s="30">
        <f>Y75*15</f>
        <v>176955</v>
      </c>
      <c r="AA75" s="22"/>
      <c r="AB75" s="22"/>
      <c r="AC75" s="30">
        <f>Y75/30*60</f>
        <v>23594</v>
      </c>
      <c r="AD75" s="22">
        <v>3900</v>
      </c>
      <c r="AE75" s="31">
        <f t="shared" si="1"/>
        <v>204449</v>
      </c>
    </row>
    <row r="76" spans="3:33" x14ac:dyDescent="0.25">
      <c r="C76" s="70"/>
      <c r="D76" s="71" t="s">
        <v>48</v>
      </c>
      <c r="E76" s="72"/>
      <c r="F76" s="72"/>
      <c r="G76" s="72"/>
      <c r="H76" s="73"/>
      <c r="I76" s="73"/>
      <c r="J76" s="73"/>
      <c r="K76" s="72"/>
      <c r="L76" s="74">
        <f>SUM(L72:L75)</f>
        <v>64215</v>
      </c>
      <c r="M76" s="41"/>
      <c r="N76" s="73"/>
      <c r="O76" s="75"/>
      <c r="P76" s="73"/>
      <c r="Q76" s="73"/>
      <c r="R76" s="75"/>
      <c r="S76" s="72"/>
      <c r="T76" s="72"/>
      <c r="U76" s="72"/>
      <c r="V76" s="72"/>
      <c r="W76" s="211"/>
      <c r="X76" s="71"/>
      <c r="Y76" s="76"/>
      <c r="Z76" s="77">
        <f>SUM(Z72:Z75)</f>
        <v>507624</v>
      </c>
      <c r="AA76" s="77"/>
      <c r="AB76" s="76"/>
      <c r="AC76" s="77">
        <f>SUM(AC72:AC75)</f>
        <v>71246.5</v>
      </c>
      <c r="AD76" s="77">
        <f>SUM(AD72:AD75)</f>
        <v>9400</v>
      </c>
      <c r="AE76" s="89">
        <f>SUM(AE72:AE75)</f>
        <v>588270.5</v>
      </c>
    </row>
    <row r="77" spans="3:33" x14ac:dyDescent="0.25">
      <c r="AG77" s="83"/>
    </row>
    <row r="80" spans="3:33" x14ac:dyDescent="0.25">
      <c r="Z80" s="83"/>
      <c r="AC80" s="81"/>
      <c r="AD80" s="83"/>
    </row>
    <row r="82" spans="33:36" x14ac:dyDescent="0.25">
      <c r="AG82" s="1">
        <f>15*14</f>
        <v>210</v>
      </c>
      <c r="AH82" s="1">
        <f>14*3</f>
        <v>42</v>
      </c>
      <c r="AI82" s="1">
        <f>14*13</f>
        <v>182</v>
      </c>
      <c r="AJ82" s="1">
        <f>14*15</f>
        <v>210</v>
      </c>
    </row>
    <row r="83" spans="33:36" x14ac:dyDescent="0.25">
      <c r="AG83" s="90">
        <f>14/12*11</f>
        <v>12.833333333333334</v>
      </c>
      <c r="AH83" s="1">
        <f>14/12*3</f>
        <v>3.5</v>
      </c>
      <c r="AI83" s="1">
        <f>14/12*7</f>
        <v>8.1666666666666679</v>
      </c>
      <c r="AJ83" s="1">
        <f>AJ82-7</f>
        <v>203</v>
      </c>
    </row>
    <row r="84" spans="33:36" x14ac:dyDescent="0.25">
      <c r="AG84" s="90">
        <f>SUM(AG82:AG83)</f>
        <v>222.83333333333334</v>
      </c>
      <c r="AH84" s="90">
        <f>SUM(AH82:AH83)</f>
        <v>45.5</v>
      </c>
      <c r="AI84" s="90">
        <f>SUM(AI82:AI83)</f>
        <v>190.16666666666666</v>
      </c>
      <c r="AJ84" s="1">
        <f>AJ83/2</f>
        <v>101.5</v>
      </c>
    </row>
    <row r="85" spans="33:36" x14ac:dyDescent="0.25">
      <c r="AG85" s="1">
        <f>AG84/2</f>
        <v>111.41666666666667</v>
      </c>
      <c r="AH85" s="1">
        <f>AH84/2</f>
        <v>22.75</v>
      </c>
      <c r="AI85" s="90">
        <f>AI84-9</f>
        <v>181.16666666666666</v>
      </c>
    </row>
    <row r="86" spans="33:36" x14ac:dyDescent="0.25">
      <c r="AI86" s="1">
        <f>AI85/2</f>
        <v>90.583333333333329</v>
      </c>
    </row>
  </sheetData>
  <mergeCells count="8">
    <mergeCell ref="P71:R71"/>
    <mergeCell ref="AB71:AC71"/>
    <mergeCell ref="C1:AE1"/>
    <mergeCell ref="C2:AE2"/>
    <mergeCell ref="P3:R3"/>
    <mergeCell ref="AB3:AC3"/>
    <mergeCell ref="C69:AE69"/>
    <mergeCell ref="C70:AE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0"/>
  <sheetViews>
    <sheetView workbookViewId="0">
      <selection sqref="A1:XFD1048576"/>
    </sheetView>
  </sheetViews>
  <sheetFormatPr defaultRowHeight="15.75" x14ac:dyDescent="0.25"/>
  <cols>
    <col min="1" max="1" width="6.5703125" style="78" customWidth="1"/>
    <col min="2" max="2" width="24.85546875" style="1" customWidth="1"/>
    <col min="3" max="3" width="19" style="1" customWidth="1"/>
    <col min="4" max="4" width="13" style="1" hidden="1" customWidth="1"/>
    <col min="5" max="5" width="13.5703125" style="1" hidden="1" customWidth="1"/>
    <col min="6" max="6" width="11" style="1" hidden="1" customWidth="1"/>
    <col min="7" max="7" width="10.5703125" style="1" hidden="1" customWidth="1"/>
    <col min="8" max="8" width="10" style="1" hidden="1" customWidth="1"/>
    <col min="9" max="9" width="8.5703125" style="1" hidden="1" customWidth="1"/>
    <col min="10" max="10" width="10.7109375" style="79" hidden="1" customWidth="1"/>
    <col min="11" max="11" width="9.42578125" style="80" hidden="1" customWidth="1"/>
    <col min="12" max="12" width="14.5703125" style="81" hidden="1" customWidth="1"/>
    <col min="13" max="13" width="6.7109375" style="82" hidden="1" customWidth="1"/>
    <col min="14" max="14" width="9" style="81" hidden="1" customWidth="1"/>
    <col min="15" max="15" width="6.85546875" style="81" hidden="1" customWidth="1"/>
    <col min="16" max="16" width="10.5703125" style="82" hidden="1" customWidth="1"/>
    <col min="17" max="17" width="12.28515625" style="1" hidden="1" customWidth="1"/>
    <col min="18" max="18" width="12.5703125" style="1" hidden="1" customWidth="1"/>
    <col min="19" max="19" width="0.28515625" style="1" customWidth="1"/>
    <col min="20" max="20" width="12.85546875" style="1" customWidth="1"/>
    <col min="21" max="21" width="10.5703125" style="213" customWidth="1"/>
    <col min="22" max="22" width="10" style="1" hidden="1" customWidth="1"/>
    <col min="23" max="23" width="11.42578125" style="1" customWidth="1"/>
    <col min="24" max="24" width="14.5703125" style="1" customWidth="1"/>
    <col min="25" max="25" width="12.7109375" style="1" hidden="1" customWidth="1"/>
    <col min="26" max="26" width="9" style="1" customWidth="1"/>
    <col min="27" max="28" width="14.5703125" style="1" customWidth="1"/>
    <col min="29" max="29" width="15.140625" style="1" customWidth="1"/>
    <col min="30" max="30" width="9.140625" style="1" customWidth="1"/>
    <col min="31" max="244" width="9.140625" style="1"/>
    <col min="245" max="245" width="5.140625" style="1" customWidth="1"/>
    <col min="246" max="246" width="33.5703125" style="1" customWidth="1"/>
    <col min="247" max="247" width="25.85546875" style="1" customWidth="1"/>
    <col min="248" max="248" width="0" style="1" hidden="1" customWidth="1"/>
    <col min="249" max="249" width="14.85546875" style="1" customWidth="1"/>
    <col min="250" max="250" width="13.85546875" style="1" customWidth="1"/>
    <col min="251" max="251" width="12.140625" style="1" customWidth="1"/>
    <col min="252" max="252" width="13.7109375" style="1" customWidth="1"/>
    <col min="253" max="253" width="8.5703125" style="1" customWidth="1"/>
    <col min="254" max="254" width="13" style="1" customWidth="1"/>
    <col min="255" max="255" width="9" style="1" customWidth="1"/>
    <col min="256" max="256" width="6.7109375" style="1" customWidth="1"/>
    <col min="257" max="257" width="9" style="1" customWidth="1"/>
    <col min="258" max="258" width="6.85546875" style="1" customWidth="1"/>
    <col min="259" max="259" width="10.5703125" style="1" customWidth="1"/>
    <col min="260" max="260" width="12.28515625" style="1" customWidth="1"/>
    <col min="261" max="261" width="12.5703125" style="1" customWidth="1"/>
    <col min="262" max="262" width="1.5703125" style="1" customWidth="1"/>
    <col min="263" max="263" width="45.140625" style="1" customWidth="1"/>
    <col min="264" max="264" width="13.140625" style="1" customWidth="1"/>
    <col min="265" max="265" width="10.28515625" style="1" bestFit="1" customWidth="1"/>
    <col min="266" max="266" width="16.28515625" style="1" bestFit="1" customWidth="1"/>
    <col min="267" max="267" width="11.28515625" style="1" bestFit="1" customWidth="1"/>
    <col min="268" max="500" width="9.140625" style="1"/>
    <col min="501" max="501" width="5.140625" style="1" customWidth="1"/>
    <col min="502" max="502" width="33.5703125" style="1" customWidth="1"/>
    <col min="503" max="503" width="25.85546875" style="1" customWidth="1"/>
    <col min="504" max="504" width="0" style="1" hidden="1" customWidth="1"/>
    <col min="505" max="505" width="14.85546875" style="1" customWidth="1"/>
    <col min="506" max="506" width="13.85546875" style="1" customWidth="1"/>
    <col min="507" max="507" width="12.140625" style="1" customWidth="1"/>
    <col min="508" max="508" width="13.7109375" style="1" customWidth="1"/>
    <col min="509" max="509" width="8.5703125" style="1" customWidth="1"/>
    <col min="510" max="510" width="13" style="1" customWidth="1"/>
    <col min="511" max="511" width="9" style="1" customWidth="1"/>
    <col min="512" max="512" width="6.7109375" style="1" customWidth="1"/>
    <col min="513" max="513" width="9" style="1" customWidth="1"/>
    <col min="514" max="514" width="6.85546875" style="1" customWidth="1"/>
    <col min="515" max="515" width="10.5703125" style="1" customWidth="1"/>
    <col min="516" max="516" width="12.28515625" style="1" customWidth="1"/>
    <col min="517" max="517" width="12.5703125" style="1" customWidth="1"/>
    <col min="518" max="518" width="1.5703125" style="1" customWidth="1"/>
    <col min="519" max="519" width="45.140625" style="1" customWidth="1"/>
    <col min="520" max="520" width="13.140625" style="1" customWidth="1"/>
    <col min="521" max="521" width="10.28515625" style="1" bestFit="1" customWidth="1"/>
    <col min="522" max="522" width="16.28515625" style="1" bestFit="1" customWidth="1"/>
    <col min="523" max="523" width="11.28515625" style="1" bestFit="1" customWidth="1"/>
    <col min="524" max="756" width="9.140625" style="1"/>
    <col min="757" max="757" width="5.140625" style="1" customWidth="1"/>
    <col min="758" max="758" width="33.5703125" style="1" customWidth="1"/>
    <col min="759" max="759" width="25.85546875" style="1" customWidth="1"/>
    <col min="760" max="760" width="0" style="1" hidden="1" customWidth="1"/>
    <col min="761" max="761" width="14.85546875" style="1" customWidth="1"/>
    <col min="762" max="762" width="13.85546875" style="1" customWidth="1"/>
    <col min="763" max="763" width="12.140625" style="1" customWidth="1"/>
    <col min="764" max="764" width="13.7109375" style="1" customWidth="1"/>
    <col min="765" max="765" width="8.5703125" style="1" customWidth="1"/>
    <col min="766" max="766" width="13" style="1" customWidth="1"/>
    <col min="767" max="767" width="9" style="1" customWidth="1"/>
    <col min="768" max="768" width="6.7109375" style="1" customWidth="1"/>
    <col min="769" max="769" width="9" style="1" customWidth="1"/>
    <col min="770" max="770" width="6.85546875" style="1" customWidth="1"/>
    <col min="771" max="771" width="10.5703125" style="1" customWidth="1"/>
    <col min="772" max="772" width="12.28515625" style="1" customWidth="1"/>
    <col min="773" max="773" width="12.5703125" style="1" customWidth="1"/>
    <col min="774" max="774" width="1.5703125" style="1" customWidth="1"/>
    <col min="775" max="775" width="45.140625" style="1" customWidth="1"/>
    <col min="776" max="776" width="13.140625" style="1" customWidth="1"/>
    <col min="777" max="777" width="10.28515625" style="1" bestFit="1" customWidth="1"/>
    <col min="778" max="778" width="16.28515625" style="1" bestFit="1" customWidth="1"/>
    <col min="779" max="779" width="11.28515625" style="1" bestFit="1" customWidth="1"/>
    <col min="780" max="1012" width="9.140625" style="1"/>
    <col min="1013" max="1013" width="5.140625" style="1" customWidth="1"/>
    <col min="1014" max="1014" width="33.5703125" style="1" customWidth="1"/>
    <col min="1015" max="1015" width="25.85546875" style="1" customWidth="1"/>
    <col min="1016" max="1016" width="0" style="1" hidden="1" customWidth="1"/>
    <col min="1017" max="1017" width="14.85546875" style="1" customWidth="1"/>
    <col min="1018" max="1018" width="13.85546875" style="1" customWidth="1"/>
    <col min="1019" max="1019" width="12.140625" style="1" customWidth="1"/>
    <col min="1020" max="1020" width="13.7109375" style="1" customWidth="1"/>
    <col min="1021" max="1021" width="8.5703125" style="1" customWidth="1"/>
    <col min="1022" max="1022" width="13" style="1" customWidth="1"/>
    <col min="1023" max="1023" width="9" style="1" customWidth="1"/>
    <col min="1024" max="1024" width="6.7109375" style="1" customWidth="1"/>
    <col min="1025" max="1025" width="9" style="1" customWidth="1"/>
    <col min="1026" max="1026" width="6.85546875" style="1" customWidth="1"/>
    <col min="1027" max="1027" width="10.5703125" style="1" customWidth="1"/>
    <col min="1028" max="1028" width="12.28515625" style="1" customWidth="1"/>
    <col min="1029" max="1029" width="12.5703125" style="1" customWidth="1"/>
    <col min="1030" max="1030" width="1.5703125" style="1" customWidth="1"/>
    <col min="1031" max="1031" width="45.140625" style="1" customWidth="1"/>
    <col min="1032" max="1032" width="13.140625" style="1" customWidth="1"/>
    <col min="1033" max="1033" width="10.28515625" style="1" bestFit="1" customWidth="1"/>
    <col min="1034" max="1034" width="16.28515625" style="1" bestFit="1" customWidth="1"/>
    <col min="1035" max="1035" width="11.28515625" style="1" bestFit="1" customWidth="1"/>
    <col min="1036" max="1268" width="9.140625" style="1"/>
    <col min="1269" max="1269" width="5.140625" style="1" customWidth="1"/>
    <col min="1270" max="1270" width="33.5703125" style="1" customWidth="1"/>
    <col min="1271" max="1271" width="25.85546875" style="1" customWidth="1"/>
    <col min="1272" max="1272" width="0" style="1" hidden="1" customWidth="1"/>
    <col min="1273" max="1273" width="14.85546875" style="1" customWidth="1"/>
    <col min="1274" max="1274" width="13.85546875" style="1" customWidth="1"/>
    <col min="1275" max="1275" width="12.140625" style="1" customWidth="1"/>
    <col min="1276" max="1276" width="13.7109375" style="1" customWidth="1"/>
    <col min="1277" max="1277" width="8.5703125" style="1" customWidth="1"/>
    <col min="1278" max="1278" width="13" style="1" customWidth="1"/>
    <col min="1279" max="1279" width="9" style="1" customWidth="1"/>
    <col min="1280" max="1280" width="6.7109375" style="1" customWidth="1"/>
    <col min="1281" max="1281" width="9" style="1" customWidth="1"/>
    <col min="1282" max="1282" width="6.85546875" style="1" customWidth="1"/>
    <col min="1283" max="1283" width="10.5703125" style="1" customWidth="1"/>
    <col min="1284" max="1284" width="12.28515625" style="1" customWidth="1"/>
    <col min="1285" max="1285" width="12.5703125" style="1" customWidth="1"/>
    <col min="1286" max="1286" width="1.5703125" style="1" customWidth="1"/>
    <col min="1287" max="1287" width="45.140625" style="1" customWidth="1"/>
    <col min="1288" max="1288" width="13.140625" style="1" customWidth="1"/>
    <col min="1289" max="1289" width="10.28515625" style="1" bestFit="1" customWidth="1"/>
    <col min="1290" max="1290" width="16.28515625" style="1" bestFit="1" customWidth="1"/>
    <col min="1291" max="1291" width="11.28515625" style="1" bestFit="1" customWidth="1"/>
    <col min="1292" max="1524" width="9.140625" style="1"/>
    <col min="1525" max="1525" width="5.140625" style="1" customWidth="1"/>
    <col min="1526" max="1526" width="33.5703125" style="1" customWidth="1"/>
    <col min="1527" max="1527" width="25.85546875" style="1" customWidth="1"/>
    <col min="1528" max="1528" width="0" style="1" hidden="1" customWidth="1"/>
    <col min="1529" max="1529" width="14.85546875" style="1" customWidth="1"/>
    <col min="1530" max="1530" width="13.85546875" style="1" customWidth="1"/>
    <col min="1531" max="1531" width="12.140625" style="1" customWidth="1"/>
    <col min="1532" max="1532" width="13.7109375" style="1" customWidth="1"/>
    <col min="1533" max="1533" width="8.5703125" style="1" customWidth="1"/>
    <col min="1534" max="1534" width="13" style="1" customWidth="1"/>
    <col min="1535" max="1535" width="9" style="1" customWidth="1"/>
    <col min="1536" max="1536" width="6.7109375" style="1" customWidth="1"/>
    <col min="1537" max="1537" width="9" style="1" customWidth="1"/>
    <col min="1538" max="1538" width="6.85546875" style="1" customWidth="1"/>
    <col min="1539" max="1539" width="10.5703125" style="1" customWidth="1"/>
    <col min="1540" max="1540" width="12.28515625" style="1" customWidth="1"/>
    <col min="1541" max="1541" width="12.5703125" style="1" customWidth="1"/>
    <col min="1542" max="1542" width="1.5703125" style="1" customWidth="1"/>
    <col min="1543" max="1543" width="45.140625" style="1" customWidth="1"/>
    <col min="1544" max="1544" width="13.140625" style="1" customWidth="1"/>
    <col min="1545" max="1545" width="10.28515625" style="1" bestFit="1" customWidth="1"/>
    <col min="1546" max="1546" width="16.28515625" style="1" bestFit="1" customWidth="1"/>
    <col min="1547" max="1547" width="11.28515625" style="1" bestFit="1" customWidth="1"/>
    <col min="1548" max="1780" width="9.140625" style="1"/>
    <col min="1781" max="1781" width="5.140625" style="1" customWidth="1"/>
    <col min="1782" max="1782" width="33.5703125" style="1" customWidth="1"/>
    <col min="1783" max="1783" width="25.85546875" style="1" customWidth="1"/>
    <col min="1784" max="1784" width="0" style="1" hidden="1" customWidth="1"/>
    <col min="1785" max="1785" width="14.85546875" style="1" customWidth="1"/>
    <col min="1786" max="1786" width="13.85546875" style="1" customWidth="1"/>
    <col min="1787" max="1787" width="12.140625" style="1" customWidth="1"/>
    <col min="1788" max="1788" width="13.7109375" style="1" customWidth="1"/>
    <col min="1789" max="1789" width="8.5703125" style="1" customWidth="1"/>
    <col min="1790" max="1790" width="13" style="1" customWidth="1"/>
    <col min="1791" max="1791" width="9" style="1" customWidth="1"/>
    <col min="1792" max="1792" width="6.7109375" style="1" customWidth="1"/>
    <col min="1793" max="1793" width="9" style="1" customWidth="1"/>
    <col min="1794" max="1794" width="6.85546875" style="1" customWidth="1"/>
    <col min="1795" max="1795" width="10.5703125" style="1" customWidth="1"/>
    <col min="1796" max="1796" width="12.28515625" style="1" customWidth="1"/>
    <col min="1797" max="1797" width="12.5703125" style="1" customWidth="1"/>
    <col min="1798" max="1798" width="1.5703125" style="1" customWidth="1"/>
    <col min="1799" max="1799" width="45.140625" style="1" customWidth="1"/>
    <col min="1800" max="1800" width="13.140625" style="1" customWidth="1"/>
    <col min="1801" max="1801" width="10.28515625" style="1" bestFit="1" customWidth="1"/>
    <col min="1802" max="1802" width="16.28515625" style="1" bestFit="1" customWidth="1"/>
    <col min="1803" max="1803" width="11.28515625" style="1" bestFit="1" customWidth="1"/>
    <col min="1804" max="2036" width="9.140625" style="1"/>
    <col min="2037" max="2037" width="5.140625" style="1" customWidth="1"/>
    <col min="2038" max="2038" width="33.5703125" style="1" customWidth="1"/>
    <col min="2039" max="2039" width="25.85546875" style="1" customWidth="1"/>
    <col min="2040" max="2040" width="0" style="1" hidden="1" customWidth="1"/>
    <col min="2041" max="2041" width="14.85546875" style="1" customWidth="1"/>
    <col min="2042" max="2042" width="13.85546875" style="1" customWidth="1"/>
    <col min="2043" max="2043" width="12.140625" style="1" customWidth="1"/>
    <col min="2044" max="2044" width="13.7109375" style="1" customWidth="1"/>
    <col min="2045" max="2045" width="8.5703125" style="1" customWidth="1"/>
    <col min="2046" max="2046" width="13" style="1" customWidth="1"/>
    <col min="2047" max="2047" width="9" style="1" customWidth="1"/>
    <col min="2048" max="2048" width="6.7109375" style="1" customWidth="1"/>
    <col min="2049" max="2049" width="9" style="1" customWidth="1"/>
    <col min="2050" max="2050" width="6.85546875" style="1" customWidth="1"/>
    <col min="2051" max="2051" width="10.5703125" style="1" customWidth="1"/>
    <col min="2052" max="2052" width="12.28515625" style="1" customWidth="1"/>
    <col min="2053" max="2053" width="12.5703125" style="1" customWidth="1"/>
    <col min="2054" max="2054" width="1.5703125" style="1" customWidth="1"/>
    <col min="2055" max="2055" width="45.140625" style="1" customWidth="1"/>
    <col min="2056" max="2056" width="13.140625" style="1" customWidth="1"/>
    <col min="2057" max="2057" width="10.28515625" style="1" bestFit="1" customWidth="1"/>
    <col min="2058" max="2058" width="16.28515625" style="1" bestFit="1" customWidth="1"/>
    <col min="2059" max="2059" width="11.28515625" style="1" bestFit="1" customWidth="1"/>
    <col min="2060" max="2292" width="9.140625" style="1"/>
    <col min="2293" max="2293" width="5.140625" style="1" customWidth="1"/>
    <col min="2294" max="2294" width="33.5703125" style="1" customWidth="1"/>
    <col min="2295" max="2295" width="25.85546875" style="1" customWidth="1"/>
    <col min="2296" max="2296" width="0" style="1" hidden="1" customWidth="1"/>
    <col min="2297" max="2297" width="14.85546875" style="1" customWidth="1"/>
    <col min="2298" max="2298" width="13.85546875" style="1" customWidth="1"/>
    <col min="2299" max="2299" width="12.140625" style="1" customWidth="1"/>
    <col min="2300" max="2300" width="13.7109375" style="1" customWidth="1"/>
    <col min="2301" max="2301" width="8.5703125" style="1" customWidth="1"/>
    <col min="2302" max="2302" width="13" style="1" customWidth="1"/>
    <col min="2303" max="2303" width="9" style="1" customWidth="1"/>
    <col min="2304" max="2304" width="6.7109375" style="1" customWidth="1"/>
    <col min="2305" max="2305" width="9" style="1" customWidth="1"/>
    <col min="2306" max="2306" width="6.85546875" style="1" customWidth="1"/>
    <col min="2307" max="2307" width="10.5703125" style="1" customWidth="1"/>
    <col min="2308" max="2308" width="12.28515625" style="1" customWidth="1"/>
    <col min="2309" max="2309" width="12.5703125" style="1" customWidth="1"/>
    <col min="2310" max="2310" width="1.5703125" style="1" customWidth="1"/>
    <col min="2311" max="2311" width="45.140625" style="1" customWidth="1"/>
    <col min="2312" max="2312" width="13.140625" style="1" customWidth="1"/>
    <col min="2313" max="2313" width="10.28515625" style="1" bestFit="1" customWidth="1"/>
    <col min="2314" max="2314" width="16.28515625" style="1" bestFit="1" customWidth="1"/>
    <col min="2315" max="2315" width="11.28515625" style="1" bestFit="1" customWidth="1"/>
    <col min="2316" max="2548" width="9.140625" style="1"/>
    <col min="2549" max="2549" width="5.140625" style="1" customWidth="1"/>
    <col min="2550" max="2550" width="33.5703125" style="1" customWidth="1"/>
    <col min="2551" max="2551" width="25.85546875" style="1" customWidth="1"/>
    <col min="2552" max="2552" width="0" style="1" hidden="1" customWidth="1"/>
    <col min="2553" max="2553" width="14.85546875" style="1" customWidth="1"/>
    <col min="2554" max="2554" width="13.85546875" style="1" customWidth="1"/>
    <col min="2555" max="2555" width="12.140625" style="1" customWidth="1"/>
    <col min="2556" max="2556" width="13.7109375" style="1" customWidth="1"/>
    <col min="2557" max="2557" width="8.5703125" style="1" customWidth="1"/>
    <col min="2558" max="2558" width="13" style="1" customWidth="1"/>
    <col min="2559" max="2559" width="9" style="1" customWidth="1"/>
    <col min="2560" max="2560" width="6.7109375" style="1" customWidth="1"/>
    <col min="2561" max="2561" width="9" style="1" customWidth="1"/>
    <col min="2562" max="2562" width="6.85546875" style="1" customWidth="1"/>
    <col min="2563" max="2563" width="10.5703125" style="1" customWidth="1"/>
    <col min="2564" max="2564" width="12.28515625" style="1" customWidth="1"/>
    <col min="2565" max="2565" width="12.5703125" style="1" customWidth="1"/>
    <col min="2566" max="2566" width="1.5703125" style="1" customWidth="1"/>
    <col min="2567" max="2567" width="45.140625" style="1" customWidth="1"/>
    <col min="2568" max="2568" width="13.140625" style="1" customWidth="1"/>
    <col min="2569" max="2569" width="10.28515625" style="1" bestFit="1" customWidth="1"/>
    <col min="2570" max="2570" width="16.28515625" style="1" bestFit="1" customWidth="1"/>
    <col min="2571" max="2571" width="11.28515625" style="1" bestFit="1" customWidth="1"/>
    <col min="2572" max="2804" width="9.140625" style="1"/>
    <col min="2805" max="2805" width="5.140625" style="1" customWidth="1"/>
    <col min="2806" max="2806" width="33.5703125" style="1" customWidth="1"/>
    <col min="2807" max="2807" width="25.85546875" style="1" customWidth="1"/>
    <col min="2808" max="2808" width="0" style="1" hidden="1" customWidth="1"/>
    <col min="2809" max="2809" width="14.85546875" style="1" customWidth="1"/>
    <col min="2810" max="2810" width="13.85546875" style="1" customWidth="1"/>
    <col min="2811" max="2811" width="12.140625" style="1" customWidth="1"/>
    <col min="2812" max="2812" width="13.7109375" style="1" customWidth="1"/>
    <col min="2813" max="2813" width="8.5703125" style="1" customWidth="1"/>
    <col min="2814" max="2814" width="13" style="1" customWidth="1"/>
    <col min="2815" max="2815" width="9" style="1" customWidth="1"/>
    <col min="2816" max="2816" width="6.7109375" style="1" customWidth="1"/>
    <col min="2817" max="2817" width="9" style="1" customWidth="1"/>
    <col min="2818" max="2818" width="6.85546875" style="1" customWidth="1"/>
    <col min="2819" max="2819" width="10.5703125" style="1" customWidth="1"/>
    <col min="2820" max="2820" width="12.28515625" style="1" customWidth="1"/>
    <col min="2821" max="2821" width="12.5703125" style="1" customWidth="1"/>
    <col min="2822" max="2822" width="1.5703125" style="1" customWidth="1"/>
    <col min="2823" max="2823" width="45.140625" style="1" customWidth="1"/>
    <col min="2824" max="2824" width="13.140625" style="1" customWidth="1"/>
    <col min="2825" max="2825" width="10.28515625" style="1" bestFit="1" customWidth="1"/>
    <col min="2826" max="2826" width="16.28515625" style="1" bestFit="1" customWidth="1"/>
    <col min="2827" max="2827" width="11.28515625" style="1" bestFit="1" customWidth="1"/>
    <col min="2828" max="3060" width="9.140625" style="1"/>
    <col min="3061" max="3061" width="5.140625" style="1" customWidth="1"/>
    <col min="3062" max="3062" width="33.5703125" style="1" customWidth="1"/>
    <col min="3063" max="3063" width="25.85546875" style="1" customWidth="1"/>
    <col min="3064" max="3064" width="0" style="1" hidden="1" customWidth="1"/>
    <col min="3065" max="3065" width="14.85546875" style="1" customWidth="1"/>
    <col min="3066" max="3066" width="13.85546875" style="1" customWidth="1"/>
    <col min="3067" max="3067" width="12.140625" style="1" customWidth="1"/>
    <col min="3068" max="3068" width="13.7109375" style="1" customWidth="1"/>
    <col min="3069" max="3069" width="8.5703125" style="1" customWidth="1"/>
    <col min="3070" max="3070" width="13" style="1" customWidth="1"/>
    <col min="3071" max="3071" width="9" style="1" customWidth="1"/>
    <col min="3072" max="3072" width="6.7109375" style="1" customWidth="1"/>
    <col min="3073" max="3073" width="9" style="1" customWidth="1"/>
    <col min="3074" max="3074" width="6.85546875" style="1" customWidth="1"/>
    <col min="3075" max="3075" width="10.5703125" style="1" customWidth="1"/>
    <col min="3076" max="3076" width="12.28515625" style="1" customWidth="1"/>
    <col min="3077" max="3077" width="12.5703125" style="1" customWidth="1"/>
    <col min="3078" max="3078" width="1.5703125" style="1" customWidth="1"/>
    <col min="3079" max="3079" width="45.140625" style="1" customWidth="1"/>
    <col min="3080" max="3080" width="13.140625" style="1" customWidth="1"/>
    <col min="3081" max="3081" width="10.28515625" style="1" bestFit="1" customWidth="1"/>
    <col min="3082" max="3082" width="16.28515625" style="1" bestFit="1" customWidth="1"/>
    <col min="3083" max="3083" width="11.28515625" style="1" bestFit="1" customWidth="1"/>
    <col min="3084" max="3316" width="9.140625" style="1"/>
    <col min="3317" max="3317" width="5.140625" style="1" customWidth="1"/>
    <col min="3318" max="3318" width="33.5703125" style="1" customWidth="1"/>
    <col min="3319" max="3319" width="25.85546875" style="1" customWidth="1"/>
    <col min="3320" max="3320" width="0" style="1" hidden="1" customWidth="1"/>
    <col min="3321" max="3321" width="14.85546875" style="1" customWidth="1"/>
    <col min="3322" max="3322" width="13.85546875" style="1" customWidth="1"/>
    <col min="3323" max="3323" width="12.140625" style="1" customWidth="1"/>
    <col min="3324" max="3324" width="13.7109375" style="1" customWidth="1"/>
    <col min="3325" max="3325" width="8.5703125" style="1" customWidth="1"/>
    <col min="3326" max="3326" width="13" style="1" customWidth="1"/>
    <col min="3327" max="3327" width="9" style="1" customWidth="1"/>
    <col min="3328" max="3328" width="6.7109375" style="1" customWidth="1"/>
    <col min="3329" max="3329" width="9" style="1" customWidth="1"/>
    <col min="3330" max="3330" width="6.85546875" style="1" customWidth="1"/>
    <col min="3331" max="3331" width="10.5703125" style="1" customWidth="1"/>
    <col min="3332" max="3332" width="12.28515625" style="1" customWidth="1"/>
    <col min="3333" max="3333" width="12.5703125" style="1" customWidth="1"/>
    <col min="3334" max="3334" width="1.5703125" style="1" customWidth="1"/>
    <col min="3335" max="3335" width="45.140625" style="1" customWidth="1"/>
    <col min="3336" max="3336" width="13.140625" style="1" customWidth="1"/>
    <col min="3337" max="3337" width="10.28515625" style="1" bestFit="1" customWidth="1"/>
    <col min="3338" max="3338" width="16.28515625" style="1" bestFit="1" customWidth="1"/>
    <col min="3339" max="3339" width="11.28515625" style="1" bestFit="1" customWidth="1"/>
    <col min="3340" max="3572" width="9.140625" style="1"/>
    <col min="3573" max="3573" width="5.140625" style="1" customWidth="1"/>
    <col min="3574" max="3574" width="33.5703125" style="1" customWidth="1"/>
    <col min="3575" max="3575" width="25.85546875" style="1" customWidth="1"/>
    <col min="3576" max="3576" width="0" style="1" hidden="1" customWidth="1"/>
    <col min="3577" max="3577" width="14.85546875" style="1" customWidth="1"/>
    <col min="3578" max="3578" width="13.85546875" style="1" customWidth="1"/>
    <col min="3579" max="3579" width="12.140625" style="1" customWidth="1"/>
    <col min="3580" max="3580" width="13.7109375" style="1" customWidth="1"/>
    <col min="3581" max="3581" width="8.5703125" style="1" customWidth="1"/>
    <col min="3582" max="3582" width="13" style="1" customWidth="1"/>
    <col min="3583" max="3583" width="9" style="1" customWidth="1"/>
    <col min="3584" max="3584" width="6.7109375" style="1" customWidth="1"/>
    <col min="3585" max="3585" width="9" style="1" customWidth="1"/>
    <col min="3586" max="3586" width="6.85546875" style="1" customWidth="1"/>
    <col min="3587" max="3587" width="10.5703125" style="1" customWidth="1"/>
    <col min="3588" max="3588" width="12.28515625" style="1" customWidth="1"/>
    <col min="3589" max="3589" width="12.5703125" style="1" customWidth="1"/>
    <col min="3590" max="3590" width="1.5703125" style="1" customWidth="1"/>
    <col min="3591" max="3591" width="45.140625" style="1" customWidth="1"/>
    <col min="3592" max="3592" width="13.140625" style="1" customWidth="1"/>
    <col min="3593" max="3593" width="10.28515625" style="1" bestFit="1" customWidth="1"/>
    <col min="3594" max="3594" width="16.28515625" style="1" bestFit="1" customWidth="1"/>
    <col min="3595" max="3595" width="11.28515625" style="1" bestFit="1" customWidth="1"/>
    <col min="3596" max="3828" width="9.140625" style="1"/>
    <col min="3829" max="3829" width="5.140625" style="1" customWidth="1"/>
    <col min="3830" max="3830" width="33.5703125" style="1" customWidth="1"/>
    <col min="3831" max="3831" width="25.85546875" style="1" customWidth="1"/>
    <col min="3832" max="3832" width="0" style="1" hidden="1" customWidth="1"/>
    <col min="3833" max="3833" width="14.85546875" style="1" customWidth="1"/>
    <col min="3834" max="3834" width="13.85546875" style="1" customWidth="1"/>
    <col min="3835" max="3835" width="12.140625" style="1" customWidth="1"/>
    <col min="3836" max="3836" width="13.7109375" style="1" customWidth="1"/>
    <col min="3837" max="3837" width="8.5703125" style="1" customWidth="1"/>
    <col min="3838" max="3838" width="13" style="1" customWidth="1"/>
    <col min="3839" max="3839" width="9" style="1" customWidth="1"/>
    <col min="3840" max="3840" width="6.7109375" style="1" customWidth="1"/>
    <col min="3841" max="3841" width="9" style="1" customWidth="1"/>
    <col min="3842" max="3842" width="6.85546875" style="1" customWidth="1"/>
    <col min="3843" max="3843" width="10.5703125" style="1" customWidth="1"/>
    <col min="3844" max="3844" width="12.28515625" style="1" customWidth="1"/>
    <col min="3845" max="3845" width="12.5703125" style="1" customWidth="1"/>
    <col min="3846" max="3846" width="1.5703125" style="1" customWidth="1"/>
    <col min="3847" max="3847" width="45.140625" style="1" customWidth="1"/>
    <col min="3848" max="3848" width="13.140625" style="1" customWidth="1"/>
    <col min="3849" max="3849" width="10.28515625" style="1" bestFit="1" customWidth="1"/>
    <col min="3850" max="3850" width="16.28515625" style="1" bestFit="1" customWidth="1"/>
    <col min="3851" max="3851" width="11.28515625" style="1" bestFit="1" customWidth="1"/>
    <col min="3852" max="4084" width="9.140625" style="1"/>
    <col min="4085" max="4085" width="5.140625" style="1" customWidth="1"/>
    <col min="4086" max="4086" width="33.5703125" style="1" customWidth="1"/>
    <col min="4087" max="4087" width="25.85546875" style="1" customWidth="1"/>
    <col min="4088" max="4088" width="0" style="1" hidden="1" customWidth="1"/>
    <col min="4089" max="4089" width="14.85546875" style="1" customWidth="1"/>
    <col min="4090" max="4090" width="13.85546875" style="1" customWidth="1"/>
    <col min="4091" max="4091" width="12.140625" style="1" customWidth="1"/>
    <col min="4092" max="4092" width="13.7109375" style="1" customWidth="1"/>
    <col min="4093" max="4093" width="8.5703125" style="1" customWidth="1"/>
    <col min="4094" max="4094" width="13" style="1" customWidth="1"/>
    <col min="4095" max="4095" width="9" style="1" customWidth="1"/>
    <col min="4096" max="4096" width="6.7109375" style="1" customWidth="1"/>
    <col min="4097" max="4097" width="9" style="1" customWidth="1"/>
    <col min="4098" max="4098" width="6.85546875" style="1" customWidth="1"/>
    <col min="4099" max="4099" width="10.5703125" style="1" customWidth="1"/>
    <col min="4100" max="4100" width="12.28515625" style="1" customWidth="1"/>
    <col min="4101" max="4101" width="12.5703125" style="1" customWidth="1"/>
    <col min="4102" max="4102" width="1.5703125" style="1" customWidth="1"/>
    <col min="4103" max="4103" width="45.140625" style="1" customWidth="1"/>
    <col min="4104" max="4104" width="13.140625" style="1" customWidth="1"/>
    <col min="4105" max="4105" width="10.28515625" style="1" bestFit="1" customWidth="1"/>
    <col min="4106" max="4106" width="16.28515625" style="1" bestFit="1" customWidth="1"/>
    <col min="4107" max="4107" width="11.28515625" style="1" bestFit="1" customWidth="1"/>
    <col min="4108" max="4340" width="9.140625" style="1"/>
    <col min="4341" max="4341" width="5.140625" style="1" customWidth="1"/>
    <col min="4342" max="4342" width="33.5703125" style="1" customWidth="1"/>
    <col min="4343" max="4343" width="25.85546875" style="1" customWidth="1"/>
    <col min="4344" max="4344" width="0" style="1" hidden="1" customWidth="1"/>
    <col min="4345" max="4345" width="14.85546875" style="1" customWidth="1"/>
    <col min="4346" max="4346" width="13.85546875" style="1" customWidth="1"/>
    <col min="4347" max="4347" width="12.140625" style="1" customWidth="1"/>
    <col min="4348" max="4348" width="13.7109375" style="1" customWidth="1"/>
    <col min="4349" max="4349" width="8.5703125" style="1" customWidth="1"/>
    <col min="4350" max="4350" width="13" style="1" customWidth="1"/>
    <col min="4351" max="4351" width="9" style="1" customWidth="1"/>
    <col min="4352" max="4352" width="6.7109375" style="1" customWidth="1"/>
    <col min="4353" max="4353" width="9" style="1" customWidth="1"/>
    <col min="4354" max="4354" width="6.85546875" style="1" customWidth="1"/>
    <col min="4355" max="4355" width="10.5703125" style="1" customWidth="1"/>
    <col min="4356" max="4356" width="12.28515625" style="1" customWidth="1"/>
    <col min="4357" max="4357" width="12.5703125" style="1" customWidth="1"/>
    <col min="4358" max="4358" width="1.5703125" style="1" customWidth="1"/>
    <col min="4359" max="4359" width="45.140625" style="1" customWidth="1"/>
    <col min="4360" max="4360" width="13.140625" style="1" customWidth="1"/>
    <col min="4361" max="4361" width="10.28515625" style="1" bestFit="1" customWidth="1"/>
    <col min="4362" max="4362" width="16.28515625" style="1" bestFit="1" customWidth="1"/>
    <col min="4363" max="4363" width="11.28515625" style="1" bestFit="1" customWidth="1"/>
    <col min="4364" max="4596" width="9.140625" style="1"/>
    <col min="4597" max="4597" width="5.140625" style="1" customWidth="1"/>
    <col min="4598" max="4598" width="33.5703125" style="1" customWidth="1"/>
    <col min="4599" max="4599" width="25.85546875" style="1" customWidth="1"/>
    <col min="4600" max="4600" width="0" style="1" hidden="1" customWidth="1"/>
    <col min="4601" max="4601" width="14.85546875" style="1" customWidth="1"/>
    <col min="4602" max="4602" width="13.85546875" style="1" customWidth="1"/>
    <col min="4603" max="4603" width="12.140625" style="1" customWidth="1"/>
    <col min="4604" max="4604" width="13.7109375" style="1" customWidth="1"/>
    <col min="4605" max="4605" width="8.5703125" style="1" customWidth="1"/>
    <col min="4606" max="4606" width="13" style="1" customWidth="1"/>
    <col min="4607" max="4607" width="9" style="1" customWidth="1"/>
    <col min="4608" max="4608" width="6.7109375" style="1" customWidth="1"/>
    <col min="4609" max="4609" width="9" style="1" customWidth="1"/>
    <col min="4610" max="4610" width="6.85546875" style="1" customWidth="1"/>
    <col min="4611" max="4611" width="10.5703125" style="1" customWidth="1"/>
    <col min="4612" max="4612" width="12.28515625" style="1" customWidth="1"/>
    <col min="4613" max="4613" width="12.5703125" style="1" customWidth="1"/>
    <col min="4614" max="4614" width="1.5703125" style="1" customWidth="1"/>
    <col min="4615" max="4615" width="45.140625" style="1" customWidth="1"/>
    <col min="4616" max="4616" width="13.140625" style="1" customWidth="1"/>
    <col min="4617" max="4617" width="10.28515625" style="1" bestFit="1" customWidth="1"/>
    <col min="4618" max="4618" width="16.28515625" style="1" bestFit="1" customWidth="1"/>
    <col min="4619" max="4619" width="11.28515625" style="1" bestFit="1" customWidth="1"/>
    <col min="4620" max="4852" width="9.140625" style="1"/>
    <col min="4853" max="4853" width="5.140625" style="1" customWidth="1"/>
    <col min="4854" max="4854" width="33.5703125" style="1" customWidth="1"/>
    <col min="4855" max="4855" width="25.85546875" style="1" customWidth="1"/>
    <col min="4856" max="4856" width="0" style="1" hidden="1" customWidth="1"/>
    <col min="4857" max="4857" width="14.85546875" style="1" customWidth="1"/>
    <col min="4858" max="4858" width="13.85546875" style="1" customWidth="1"/>
    <col min="4859" max="4859" width="12.140625" style="1" customWidth="1"/>
    <col min="4860" max="4860" width="13.7109375" style="1" customWidth="1"/>
    <col min="4861" max="4861" width="8.5703125" style="1" customWidth="1"/>
    <col min="4862" max="4862" width="13" style="1" customWidth="1"/>
    <col min="4863" max="4863" width="9" style="1" customWidth="1"/>
    <col min="4864" max="4864" width="6.7109375" style="1" customWidth="1"/>
    <col min="4865" max="4865" width="9" style="1" customWidth="1"/>
    <col min="4866" max="4866" width="6.85546875" style="1" customWidth="1"/>
    <col min="4867" max="4867" width="10.5703125" style="1" customWidth="1"/>
    <col min="4868" max="4868" width="12.28515625" style="1" customWidth="1"/>
    <col min="4869" max="4869" width="12.5703125" style="1" customWidth="1"/>
    <col min="4870" max="4870" width="1.5703125" style="1" customWidth="1"/>
    <col min="4871" max="4871" width="45.140625" style="1" customWidth="1"/>
    <col min="4872" max="4872" width="13.140625" style="1" customWidth="1"/>
    <col min="4873" max="4873" width="10.28515625" style="1" bestFit="1" customWidth="1"/>
    <col min="4874" max="4874" width="16.28515625" style="1" bestFit="1" customWidth="1"/>
    <col min="4875" max="4875" width="11.28515625" style="1" bestFit="1" customWidth="1"/>
    <col min="4876" max="5108" width="9.140625" style="1"/>
    <col min="5109" max="5109" width="5.140625" style="1" customWidth="1"/>
    <col min="5110" max="5110" width="33.5703125" style="1" customWidth="1"/>
    <col min="5111" max="5111" width="25.85546875" style="1" customWidth="1"/>
    <col min="5112" max="5112" width="0" style="1" hidden="1" customWidth="1"/>
    <col min="5113" max="5113" width="14.85546875" style="1" customWidth="1"/>
    <col min="5114" max="5114" width="13.85546875" style="1" customWidth="1"/>
    <col min="5115" max="5115" width="12.140625" style="1" customWidth="1"/>
    <col min="5116" max="5116" width="13.7109375" style="1" customWidth="1"/>
    <col min="5117" max="5117" width="8.5703125" style="1" customWidth="1"/>
    <col min="5118" max="5118" width="13" style="1" customWidth="1"/>
    <col min="5119" max="5119" width="9" style="1" customWidth="1"/>
    <col min="5120" max="5120" width="6.7109375" style="1" customWidth="1"/>
    <col min="5121" max="5121" width="9" style="1" customWidth="1"/>
    <col min="5122" max="5122" width="6.85546875" style="1" customWidth="1"/>
    <col min="5123" max="5123" width="10.5703125" style="1" customWidth="1"/>
    <col min="5124" max="5124" width="12.28515625" style="1" customWidth="1"/>
    <col min="5125" max="5125" width="12.5703125" style="1" customWidth="1"/>
    <col min="5126" max="5126" width="1.5703125" style="1" customWidth="1"/>
    <col min="5127" max="5127" width="45.140625" style="1" customWidth="1"/>
    <col min="5128" max="5128" width="13.140625" style="1" customWidth="1"/>
    <col min="5129" max="5129" width="10.28515625" style="1" bestFit="1" customWidth="1"/>
    <col min="5130" max="5130" width="16.28515625" style="1" bestFit="1" customWidth="1"/>
    <col min="5131" max="5131" width="11.28515625" style="1" bestFit="1" customWidth="1"/>
    <col min="5132" max="5364" width="9.140625" style="1"/>
    <col min="5365" max="5365" width="5.140625" style="1" customWidth="1"/>
    <col min="5366" max="5366" width="33.5703125" style="1" customWidth="1"/>
    <col min="5367" max="5367" width="25.85546875" style="1" customWidth="1"/>
    <col min="5368" max="5368" width="0" style="1" hidden="1" customWidth="1"/>
    <col min="5369" max="5369" width="14.85546875" style="1" customWidth="1"/>
    <col min="5370" max="5370" width="13.85546875" style="1" customWidth="1"/>
    <col min="5371" max="5371" width="12.140625" style="1" customWidth="1"/>
    <col min="5372" max="5372" width="13.7109375" style="1" customWidth="1"/>
    <col min="5373" max="5373" width="8.5703125" style="1" customWidth="1"/>
    <col min="5374" max="5374" width="13" style="1" customWidth="1"/>
    <col min="5375" max="5375" width="9" style="1" customWidth="1"/>
    <col min="5376" max="5376" width="6.7109375" style="1" customWidth="1"/>
    <col min="5377" max="5377" width="9" style="1" customWidth="1"/>
    <col min="5378" max="5378" width="6.85546875" style="1" customWidth="1"/>
    <col min="5379" max="5379" width="10.5703125" style="1" customWidth="1"/>
    <col min="5380" max="5380" width="12.28515625" style="1" customWidth="1"/>
    <col min="5381" max="5381" width="12.5703125" style="1" customWidth="1"/>
    <col min="5382" max="5382" width="1.5703125" style="1" customWidth="1"/>
    <col min="5383" max="5383" width="45.140625" style="1" customWidth="1"/>
    <col min="5384" max="5384" width="13.140625" style="1" customWidth="1"/>
    <col min="5385" max="5385" width="10.28515625" style="1" bestFit="1" customWidth="1"/>
    <col min="5386" max="5386" width="16.28515625" style="1" bestFit="1" customWidth="1"/>
    <col min="5387" max="5387" width="11.28515625" style="1" bestFit="1" customWidth="1"/>
    <col min="5388" max="5620" width="9.140625" style="1"/>
    <col min="5621" max="5621" width="5.140625" style="1" customWidth="1"/>
    <col min="5622" max="5622" width="33.5703125" style="1" customWidth="1"/>
    <col min="5623" max="5623" width="25.85546875" style="1" customWidth="1"/>
    <col min="5624" max="5624" width="0" style="1" hidden="1" customWidth="1"/>
    <col min="5625" max="5625" width="14.85546875" style="1" customWidth="1"/>
    <col min="5626" max="5626" width="13.85546875" style="1" customWidth="1"/>
    <col min="5627" max="5627" width="12.140625" style="1" customWidth="1"/>
    <col min="5628" max="5628" width="13.7109375" style="1" customWidth="1"/>
    <col min="5629" max="5629" width="8.5703125" style="1" customWidth="1"/>
    <col min="5630" max="5630" width="13" style="1" customWidth="1"/>
    <col min="5631" max="5631" width="9" style="1" customWidth="1"/>
    <col min="5632" max="5632" width="6.7109375" style="1" customWidth="1"/>
    <col min="5633" max="5633" width="9" style="1" customWidth="1"/>
    <col min="5634" max="5634" width="6.85546875" style="1" customWidth="1"/>
    <col min="5635" max="5635" width="10.5703125" style="1" customWidth="1"/>
    <col min="5636" max="5636" width="12.28515625" style="1" customWidth="1"/>
    <col min="5637" max="5637" width="12.5703125" style="1" customWidth="1"/>
    <col min="5638" max="5638" width="1.5703125" style="1" customWidth="1"/>
    <col min="5639" max="5639" width="45.140625" style="1" customWidth="1"/>
    <col min="5640" max="5640" width="13.140625" style="1" customWidth="1"/>
    <col min="5641" max="5641" width="10.28515625" style="1" bestFit="1" customWidth="1"/>
    <col min="5642" max="5642" width="16.28515625" style="1" bestFit="1" customWidth="1"/>
    <col min="5643" max="5643" width="11.28515625" style="1" bestFit="1" customWidth="1"/>
    <col min="5644" max="5876" width="9.140625" style="1"/>
    <col min="5877" max="5877" width="5.140625" style="1" customWidth="1"/>
    <col min="5878" max="5878" width="33.5703125" style="1" customWidth="1"/>
    <col min="5879" max="5879" width="25.85546875" style="1" customWidth="1"/>
    <col min="5880" max="5880" width="0" style="1" hidden="1" customWidth="1"/>
    <col min="5881" max="5881" width="14.85546875" style="1" customWidth="1"/>
    <col min="5882" max="5882" width="13.85546875" style="1" customWidth="1"/>
    <col min="5883" max="5883" width="12.140625" style="1" customWidth="1"/>
    <col min="5884" max="5884" width="13.7109375" style="1" customWidth="1"/>
    <col min="5885" max="5885" width="8.5703125" style="1" customWidth="1"/>
    <col min="5886" max="5886" width="13" style="1" customWidth="1"/>
    <col min="5887" max="5887" width="9" style="1" customWidth="1"/>
    <col min="5888" max="5888" width="6.7109375" style="1" customWidth="1"/>
    <col min="5889" max="5889" width="9" style="1" customWidth="1"/>
    <col min="5890" max="5890" width="6.85546875" style="1" customWidth="1"/>
    <col min="5891" max="5891" width="10.5703125" style="1" customWidth="1"/>
    <col min="5892" max="5892" width="12.28515625" style="1" customWidth="1"/>
    <col min="5893" max="5893" width="12.5703125" style="1" customWidth="1"/>
    <col min="5894" max="5894" width="1.5703125" style="1" customWidth="1"/>
    <col min="5895" max="5895" width="45.140625" style="1" customWidth="1"/>
    <col min="5896" max="5896" width="13.140625" style="1" customWidth="1"/>
    <col min="5897" max="5897" width="10.28515625" style="1" bestFit="1" customWidth="1"/>
    <col min="5898" max="5898" width="16.28515625" style="1" bestFit="1" customWidth="1"/>
    <col min="5899" max="5899" width="11.28515625" style="1" bestFit="1" customWidth="1"/>
    <col min="5900" max="6132" width="9.140625" style="1"/>
    <col min="6133" max="6133" width="5.140625" style="1" customWidth="1"/>
    <col min="6134" max="6134" width="33.5703125" style="1" customWidth="1"/>
    <col min="6135" max="6135" width="25.85546875" style="1" customWidth="1"/>
    <col min="6136" max="6136" width="0" style="1" hidden="1" customWidth="1"/>
    <col min="6137" max="6137" width="14.85546875" style="1" customWidth="1"/>
    <col min="6138" max="6138" width="13.85546875" style="1" customWidth="1"/>
    <col min="6139" max="6139" width="12.140625" style="1" customWidth="1"/>
    <col min="6140" max="6140" width="13.7109375" style="1" customWidth="1"/>
    <col min="6141" max="6141" width="8.5703125" style="1" customWidth="1"/>
    <col min="6142" max="6142" width="13" style="1" customWidth="1"/>
    <col min="6143" max="6143" width="9" style="1" customWidth="1"/>
    <col min="6144" max="6144" width="6.7109375" style="1" customWidth="1"/>
    <col min="6145" max="6145" width="9" style="1" customWidth="1"/>
    <col min="6146" max="6146" width="6.85546875" style="1" customWidth="1"/>
    <col min="6147" max="6147" width="10.5703125" style="1" customWidth="1"/>
    <col min="6148" max="6148" width="12.28515625" style="1" customWidth="1"/>
    <col min="6149" max="6149" width="12.5703125" style="1" customWidth="1"/>
    <col min="6150" max="6150" width="1.5703125" style="1" customWidth="1"/>
    <col min="6151" max="6151" width="45.140625" style="1" customWidth="1"/>
    <col min="6152" max="6152" width="13.140625" style="1" customWidth="1"/>
    <col min="6153" max="6153" width="10.28515625" style="1" bestFit="1" customWidth="1"/>
    <col min="6154" max="6154" width="16.28515625" style="1" bestFit="1" customWidth="1"/>
    <col min="6155" max="6155" width="11.28515625" style="1" bestFit="1" customWidth="1"/>
    <col min="6156" max="6388" width="9.140625" style="1"/>
    <col min="6389" max="6389" width="5.140625" style="1" customWidth="1"/>
    <col min="6390" max="6390" width="33.5703125" style="1" customWidth="1"/>
    <col min="6391" max="6391" width="25.85546875" style="1" customWidth="1"/>
    <col min="6392" max="6392" width="0" style="1" hidden="1" customWidth="1"/>
    <col min="6393" max="6393" width="14.85546875" style="1" customWidth="1"/>
    <col min="6394" max="6394" width="13.85546875" style="1" customWidth="1"/>
    <col min="6395" max="6395" width="12.140625" style="1" customWidth="1"/>
    <col min="6396" max="6396" width="13.7109375" style="1" customWidth="1"/>
    <col min="6397" max="6397" width="8.5703125" style="1" customWidth="1"/>
    <col min="6398" max="6398" width="13" style="1" customWidth="1"/>
    <col min="6399" max="6399" width="9" style="1" customWidth="1"/>
    <col min="6400" max="6400" width="6.7109375" style="1" customWidth="1"/>
    <col min="6401" max="6401" width="9" style="1" customWidth="1"/>
    <col min="6402" max="6402" width="6.85546875" style="1" customWidth="1"/>
    <col min="6403" max="6403" width="10.5703125" style="1" customWidth="1"/>
    <col min="6404" max="6404" width="12.28515625" style="1" customWidth="1"/>
    <col min="6405" max="6405" width="12.5703125" style="1" customWidth="1"/>
    <col min="6406" max="6406" width="1.5703125" style="1" customWidth="1"/>
    <col min="6407" max="6407" width="45.140625" style="1" customWidth="1"/>
    <col min="6408" max="6408" width="13.140625" style="1" customWidth="1"/>
    <col min="6409" max="6409" width="10.28515625" style="1" bestFit="1" customWidth="1"/>
    <col min="6410" max="6410" width="16.28515625" style="1" bestFit="1" customWidth="1"/>
    <col min="6411" max="6411" width="11.28515625" style="1" bestFit="1" customWidth="1"/>
    <col min="6412" max="6644" width="9.140625" style="1"/>
    <col min="6645" max="6645" width="5.140625" style="1" customWidth="1"/>
    <col min="6646" max="6646" width="33.5703125" style="1" customWidth="1"/>
    <col min="6647" max="6647" width="25.85546875" style="1" customWidth="1"/>
    <col min="6648" max="6648" width="0" style="1" hidden="1" customWidth="1"/>
    <col min="6649" max="6649" width="14.85546875" style="1" customWidth="1"/>
    <col min="6650" max="6650" width="13.85546875" style="1" customWidth="1"/>
    <col min="6651" max="6651" width="12.140625" style="1" customWidth="1"/>
    <col min="6652" max="6652" width="13.7109375" style="1" customWidth="1"/>
    <col min="6653" max="6653" width="8.5703125" style="1" customWidth="1"/>
    <col min="6654" max="6654" width="13" style="1" customWidth="1"/>
    <col min="6655" max="6655" width="9" style="1" customWidth="1"/>
    <col min="6656" max="6656" width="6.7109375" style="1" customWidth="1"/>
    <col min="6657" max="6657" width="9" style="1" customWidth="1"/>
    <col min="6658" max="6658" width="6.85546875" style="1" customWidth="1"/>
    <col min="6659" max="6659" width="10.5703125" style="1" customWidth="1"/>
    <col min="6660" max="6660" width="12.28515625" style="1" customWidth="1"/>
    <col min="6661" max="6661" width="12.5703125" style="1" customWidth="1"/>
    <col min="6662" max="6662" width="1.5703125" style="1" customWidth="1"/>
    <col min="6663" max="6663" width="45.140625" style="1" customWidth="1"/>
    <col min="6664" max="6664" width="13.140625" style="1" customWidth="1"/>
    <col min="6665" max="6665" width="10.28515625" style="1" bestFit="1" customWidth="1"/>
    <col min="6666" max="6666" width="16.28515625" style="1" bestFit="1" customWidth="1"/>
    <col min="6667" max="6667" width="11.28515625" style="1" bestFit="1" customWidth="1"/>
    <col min="6668" max="6900" width="9.140625" style="1"/>
    <col min="6901" max="6901" width="5.140625" style="1" customWidth="1"/>
    <col min="6902" max="6902" width="33.5703125" style="1" customWidth="1"/>
    <col min="6903" max="6903" width="25.85546875" style="1" customWidth="1"/>
    <col min="6904" max="6904" width="0" style="1" hidden="1" customWidth="1"/>
    <col min="6905" max="6905" width="14.85546875" style="1" customWidth="1"/>
    <col min="6906" max="6906" width="13.85546875" style="1" customWidth="1"/>
    <col min="6907" max="6907" width="12.140625" style="1" customWidth="1"/>
    <col min="6908" max="6908" width="13.7109375" style="1" customWidth="1"/>
    <col min="6909" max="6909" width="8.5703125" style="1" customWidth="1"/>
    <col min="6910" max="6910" width="13" style="1" customWidth="1"/>
    <col min="6911" max="6911" width="9" style="1" customWidth="1"/>
    <col min="6912" max="6912" width="6.7109375" style="1" customWidth="1"/>
    <col min="6913" max="6913" width="9" style="1" customWidth="1"/>
    <col min="6914" max="6914" width="6.85546875" style="1" customWidth="1"/>
    <col min="6915" max="6915" width="10.5703125" style="1" customWidth="1"/>
    <col min="6916" max="6916" width="12.28515625" style="1" customWidth="1"/>
    <col min="6917" max="6917" width="12.5703125" style="1" customWidth="1"/>
    <col min="6918" max="6918" width="1.5703125" style="1" customWidth="1"/>
    <col min="6919" max="6919" width="45.140625" style="1" customWidth="1"/>
    <col min="6920" max="6920" width="13.140625" style="1" customWidth="1"/>
    <col min="6921" max="6921" width="10.28515625" style="1" bestFit="1" customWidth="1"/>
    <col min="6922" max="6922" width="16.28515625" style="1" bestFit="1" customWidth="1"/>
    <col min="6923" max="6923" width="11.28515625" style="1" bestFit="1" customWidth="1"/>
    <col min="6924" max="7156" width="9.140625" style="1"/>
    <col min="7157" max="7157" width="5.140625" style="1" customWidth="1"/>
    <col min="7158" max="7158" width="33.5703125" style="1" customWidth="1"/>
    <col min="7159" max="7159" width="25.85546875" style="1" customWidth="1"/>
    <col min="7160" max="7160" width="0" style="1" hidden="1" customWidth="1"/>
    <col min="7161" max="7161" width="14.85546875" style="1" customWidth="1"/>
    <col min="7162" max="7162" width="13.85546875" style="1" customWidth="1"/>
    <col min="7163" max="7163" width="12.140625" style="1" customWidth="1"/>
    <col min="7164" max="7164" width="13.7109375" style="1" customWidth="1"/>
    <col min="7165" max="7165" width="8.5703125" style="1" customWidth="1"/>
    <col min="7166" max="7166" width="13" style="1" customWidth="1"/>
    <col min="7167" max="7167" width="9" style="1" customWidth="1"/>
    <col min="7168" max="7168" width="6.7109375" style="1" customWidth="1"/>
    <col min="7169" max="7169" width="9" style="1" customWidth="1"/>
    <col min="7170" max="7170" width="6.85546875" style="1" customWidth="1"/>
    <col min="7171" max="7171" width="10.5703125" style="1" customWidth="1"/>
    <col min="7172" max="7172" width="12.28515625" style="1" customWidth="1"/>
    <col min="7173" max="7173" width="12.5703125" style="1" customWidth="1"/>
    <col min="7174" max="7174" width="1.5703125" style="1" customWidth="1"/>
    <col min="7175" max="7175" width="45.140625" style="1" customWidth="1"/>
    <col min="7176" max="7176" width="13.140625" style="1" customWidth="1"/>
    <col min="7177" max="7177" width="10.28515625" style="1" bestFit="1" customWidth="1"/>
    <col min="7178" max="7178" width="16.28515625" style="1" bestFit="1" customWidth="1"/>
    <col min="7179" max="7179" width="11.28515625" style="1" bestFit="1" customWidth="1"/>
    <col min="7180" max="7412" width="9.140625" style="1"/>
    <col min="7413" max="7413" width="5.140625" style="1" customWidth="1"/>
    <col min="7414" max="7414" width="33.5703125" style="1" customWidth="1"/>
    <col min="7415" max="7415" width="25.85546875" style="1" customWidth="1"/>
    <col min="7416" max="7416" width="0" style="1" hidden="1" customWidth="1"/>
    <col min="7417" max="7417" width="14.85546875" style="1" customWidth="1"/>
    <col min="7418" max="7418" width="13.85546875" style="1" customWidth="1"/>
    <col min="7419" max="7419" width="12.140625" style="1" customWidth="1"/>
    <col min="7420" max="7420" width="13.7109375" style="1" customWidth="1"/>
    <col min="7421" max="7421" width="8.5703125" style="1" customWidth="1"/>
    <col min="7422" max="7422" width="13" style="1" customWidth="1"/>
    <col min="7423" max="7423" width="9" style="1" customWidth="1"/>
    <col min="7424" max="7424" width="6.7109375" style="1" customWidth="1"/>
    <col min="7425" max="7425" width="9" style="1" customWidth="1"/>
    <col min="7426" max="7426" width="6.85546875" style="1" customWidth="1"/>
    <col min="7427" max="7427" width="10.5703125" style="1" customWidth="1"/>
    <col min="7428" max="7428" width="12.28515625" style="1" customWidth="1"/>
    <col min="7429" max="7429" width="12.5703125" style="1" customWidth="1"/>
    <col min="7430" max="7430" width="1.5703125" style="1" customWidth="1"/>
    <col min="7431" max="7431" width="45.140625" style="1" customWidth="1"/>
    <col min="7432" max="7432" width="13.140625" style="1" customWidth="1"/>
    <col min="7433" max="7433" width="10.28515625" style="1" bestFit="1" customWidth="1"/>
    <col min="7434" max="7434" width="16.28515625" style="1" bestFit="1" customWidth="1"/>
    <col min="7435" max="7435" width="11.28515625" style="1" bestFit="1" customWidth="1"/>
    <col min="7436" max="7668" width="9.140625" style="1"/>
    <col min="7669" max="7669" width="5.140625" style="1" customWidth="1"/>
    <col min="7670" max="7670" width="33.5703125" style="1" customWidth="1"/>
    <col min="7671" max="7671" width="25.85546875" style="1" customWidth="1"/>
    <col min="7672" max="7672" width="0" style="1" hidden="1" customWidth="1"/>
    <col min="7673" max="7673" width="14.85546875" style="1" customWidth="1"/>
    <col min="7674" max="7674" width="13.85546875" style="1" customWidth="1"/>
    <col min="7675" max="7675" width="12.140625" style="1" customWidth="1"/>
    <col min="7676" max="7676" width="13.7109375" style="1" customWidth="1"/>
    <col min="7677" max="7677" width="8.5703125" style="1" customWidth="1"/>
    <col min="7678" max="7678" width="13" style="1" customWidth="1"/>
    <col min="7679" max="7679" width="9" style="1" customWidth="1"/>
    <col min="7680" max="7680" width="6.7109375" style="1" customWidth="1"/>
    <col min="7681" max="7681" width="9" style="1" customWidth="1"/>
    <col min="7682" max="7682" width="6.85546875" style="1" customWidth="1"/>
    <col min="7683" max="7683" width="10.5703125" style="1" customWidth="1"/>
    <col min="7684" max="7684" width="12.28515625" style="1" customWidth="1"/>
    <col min="7685" max="7685" width="12.5703125" style="1" customWidth="1"/>
    <col min="7686" max="7686" width="1.5703125" style="1" customWidth="1"/>
    <col min="7687" max="7687" width="45.140625" style="1" customWidth="1"/>
    <col min="7688" max="7688" width="13.140625" style="1" customWidth="1"/>
    <col min="7689" max="7689" width="10.28515625" style="1" bestFit="1" customWidth="1"/>
    <col min="7690" max="7690" width="16.28515625" style="1" bestFit="1" customWidth="1"/>
    <col min="7691" max="7691" width="11.28515625" style="1" bestFit="1" customWidth="1"/>
    <col min="7692" max="7924" width="9.140625" style="1"/>
    <col min="7925" max="7925" width="5.140625" style="1" customWidth="1"/>
    <col min="7926" max="7926" width="33.5703125" style="1" customWidth="1"/>
    <col min="7927" max="7927" width="25.85546875" style="1" customWidth="1"/>
    <col min="7928" max="7928" width="0" style="1" hidden="1" customWidth="1"/>
    <col min="7929" max="7929" width="14.85546875" style="1" customWidth="1"/>
    <col min="7930" max="7930" width="13.85546875" style="1" customWidth="1"/>
    <col min="7931" max="7931" width="12.140625" style="1" customWidth="1"/>
    <col min="7932" max="7932" width="13.7109375" style="1" customWidth="1"/>
    <col min="7933" max="7933" width="8.5703125" style="1" customWidth="1"/>
    <col min="7934" max="7934" width="13" style="1" customWidth="1"/>
    <col min="7935" max="7935" width="9" style="1" customWidth="1"/>
    <col min="7936" max="7936" width="6.7109375" style="1" customWidth="1"/>
    <col min="7937" max="7937" width="9" style="1" customWidth="1"/>
    <col min="7938" max="7938" width="6.85546875" style="1" customWidth="1"/>
    <col min="7939" max="7939" width="10.5703125" style="1" customWidth="1"/>
    <col min="7940" max="7940" width="12.28515625" style="1" customWidth="1"/>
    <col min="7941" max="7941" width="12.5703125" style="1" customWidth="1"/>
    <col min="7942" max="7942" width="1.5703125" style="1" customWidth="1"/>
    <col min="7943" max="7943" width="45.140625" style="1" customWidth="1"/>
    <col min="7944" max="7944" width="13.140625" style="1" customWidth="1"/>
    <col min="7945" max="7945" width="10.28515625" style="1" bestFit="1" customWidth="1"/>
    <col min="7946" max="7946" width="16.28515625" style="1" bestFit="1" customWidth="1"/>
    <col min="7947" max="7947" width="11.28515625" style="1" bestFit="1" customWidth="1"/>
    <col min="7948" max="8180" width="9.140625" style="1"/>
    <col min="8181" max="8181" width="5.140625" style="1" customWidth="1"/>
    <col min="8182" max="8182" width="33.5703125" style="1" customWidth="1"/>
    <col min="8183" max="8183" width="25.85546875" style="1" customWidth="1"/>
    <col min="8184" max="8184" width="0" style="1" hidden="1" customWidth="1"/>
    <col min="8185" max="8185" width="14.85546875" style="1" customWidth="1"/>
    <col min="8186" max="8186" width="13.85546875" style="1" customWidth="1"/>
    <col min="8187" max="8187" width="12.140625" style="1" customWidth="1"/>
    <col min="8188" max="8188" width="13.7109375" style="1" customWidth="1"/>
    <col min="8189" max="8189" width="8.5703125" style="1" customWidth="1"/>
    <col min="8190" max="8190" width="13" style="1" customWidth="1"/>
    <col min="8191" max="8191" width="9" style="1" customWidth="1"/>
    <col min="8192" max="8192" width="6.7109375" style="1" customWidth="1"/>
    <col min="8193" max="8193" width="9" style="1" customWidth="1"/>
    <col min="8194" max="8194" width="6.85546875" style="1" customWidth="1"/>
    <col min="8195" max="8195" width="10.5703125" style="1" customWidth="1"/>
    <col min="8196" max="8196" width="12.28515625" style="1" customWidth="1"/>
    <col min="8197" max="8197" width="12.5703125" style="1" customWidth="1"/>
    <col min="8198" max="8198" width="1.5703125" style="1" customWidth="1"/>
    <col min="8199" max="8199" width="45.140625" style="1" customWidth="1"/>
    <col min="8200" max="8200" width="13.140625" style="1" customWidth="1"/>
    <col min="8201" max="8201" width="10.28515625" style="1" bestFit="1" customWidth="1"/>
    <col min="8202" max="8202" width="16.28515625" style="1" bestFit="1" customWidth="1"/>
    <col min="8203" max="8203" width="11.28515625" style="1" bestFit="1" customWidth="1"/>
    <col min="8204" max="8436" width="9.140625" style="1"/>
    <col min="8437" max="8437" width="5.140625" style="1" customWidth="1"/>
    <col min="8438" max="8438" width="33.5703125" style="1" customWidth="1"/>
    <col min="8439" max="8439" width="25.85546875" style="1" customWidth="1"/>
    <col min="8440" max="8440" width="0" style="1" hidden="1" customWidth="1"/>
    <col min="8441" max="8441" width="14.85546875" style="1" customWidth="1"/>
    <col min="8442" max="8442" width="13.85546875" style="1" customWidth="1"/>
    <col min="8443" max="8443" width="12.140625" style="1" customWidth="1"/>
    <col min="8444" max="8444" width="13.7109375" style="1" customWidth="1"/>
    <col min="8445" max="8445" width="8.5703125" style="1" customWidth="1"/>
    <col min="8446" max="8446" width="13" style="1" customWidth="1"/>
    <col min="8447" max="8447" width="9" style="1" customWidth="1"/>
    <col min="8448" max="8448" width="6.7109375" style="1" customWidth="1"/>
    <col min="8449" max="8449" width="9" style="1" customWidth="1"/>
    <col min="8450" max="8450" width="6.85546875" style="1" customWidth="1"/>
    <col min="8451" max="8451" width="10.5703125" style="1" customWidth="1"/>
    <col min="8452" max="8452" width="12.28515625" style="1" customWidth="1"/>
    <col min="8453" max="8453" width="12.5703125" style="1" customWidth="1"/>
    <col min="8454" max="8454" width="1.5703125" style="1" customWidth="1"/>
    <col min="8455" max="8455" width="45.140625" style="1" customWidth="1"/>
    <col min="8456" max="8456" width="13.140625" style="1" customWidth="1"/>
    <col min="8457" max="8457" width="10.28515625" style="1" bestFit="1" customWidth="1"/>
    <col min="8458" max="8458" width="16.28515625" style="1" bestFit="1" customWidth="1"/>
    <col min="8459" max="8459" width="11.28515625" style="1" bestFit="1" customWidth="1"/>
    <col min="8460" max="8692" width="9.140625" style="1"/>
    <col min="8693" max="8693" width="5.140625" style="1" customWidth="1"/>
    <col min="8694" max="8694" width="33.5703125" style="1" customWidth="1"/>
    <col min="8695" max="8695" width="25.85546875" style="1" customWidth="1"/>
    <col min="8696" max="8696" width="0" style="1" hidden="1" customWidth="1"/>
    <col min="8697" max="8697" width="14.85546875" style="1" customWidth="1"/>
    <col min="8698" max="8698" width="13.85546875" style="1" customWidth="1"/>
    <col min="8699" max="8699" width="12.140625" style="1" customWidth="1"/>
    <col min="8700" max="8700" width="13.7109375" style="1" customWidth="1"/>
    <col min="8701" max="8701" width="8.5703125" style="1" customWidth="1"/>
    <col min="8702" max="8702" width="13" style="1" customWidth="1"/>
    <col min="8703" max="8703" width="9" style="1" customWidth="1"/>
    <col min="8704" max="8704" width="6.7109375" style="1" customWidth="1"/>
    <col min="8705" max="8705" width="9" style="1" customWidth="1"/>
    <col min="8706" max="8706" width="6.85546875" style="1" customWidth="1"/>
    <col min="8707" max="8707" width="10.5703125" style="1" customWidth="1"/>
    <col min="8708" max="8708" width="12.28515625" style="1" customWidth="1"/>
    <col min="8709" max="8709" width="12.5703125" style="1" customWidth="1"/>
    <col min="8710" max="8710" width="1.5703125" style="1" customWidth="1"/>
    <col min="8711" max="8711" width="45.140625" style="1" customWidth="1"/>
    <col min="8712" max="8712" width="13.140625" style="1" customWidth="1"/>
    <col min="8713" max="8713" width="10.28515625" style="1" bestFit="1" customWidth="1"/>
    <col min="8714" max="8714" width="16.28515625" style="1" bestFit="1" customWidth="1"/>
    <col min="8715" max="8715" width="11.28515625" style="1" bestFit="1" customWidth="1"/>
    <col min="8716" max="8948" width="9.140625" style="1"/>
    <col min="8949" max="8949" width="5.140625" style="1" customWidth="1"/>
    <col min="8950" max="8950" width="33.5703125" style="1" customWidth="1"/>
    <col min="8951" max="8951" width="25.85546875" style="1" customWidth="1"/>
    <col min="8952" max="8952" width="0" style="1" hidden="1" customWidth="1"/>
    <col min="8953" max="8953" width="14.85546875" style="1" customWidth="1"/>
    <col min="8954" max="8954" width="13.85546875" style="1" customWidth="1"/>
    <col min="8955" max="8955" width="12.140625" style="1" customWidth="1"/>
    <col min="8956" max="8956" width="13.7109375" style="1" customWidth="1"/>
    <col min="8957" max="8957" width="8.5703125" style="1" customWidth="1"/>
    <col min="8958" max="8958" width="13" style="1" customWidth="1"/>
    <col min="8959" max="8959" width="9" style="1" customWidth="1"/>
    <col min="8960" max="8960" width="6.7109375" style="1" customWidth="1"/>
    <col min="8961" max="8961" width="9" style="1" customWidth="1"/>
    <col min="8962" max="8962" width="6.85546875" style="1" customWidth="1"/>
    <col min="8963" max="8963" width="10.5703125" style="1" customWidth="1"/>
    <col min="8964" max="8964" width="12.28515625" style="1" customWidth="1"/>
    <col min="8965" max="8965" width="12.5703125" style="1" customWidth="1"/>
    <col min="8966" max="8966" width="1.5703125" style="1" customWidth="1"/>
    <col min="8967" max="8967" width="45.140625" style="1" customWidth="1"/>
    <col min="8968" max="8968" width="13.140625" style="1" customWidth="1"/>
    <col min="8969" max="8969" width="10.28515625" style="1" bestFit="1" customWidth="1"/>
    <col min="8970" max="8970" width="16.28515625" style="1" bestFit="1" customWidth="1"/>
    <col min="8971" max="8971" width="11.28515625" style="1" bestFit="1" customWidth="1"/>
    <col min="8972" max="9204" width="9.140625" style="1"/>
    <col min="9205" max="9205" width="5.140625" style="1" customWidth="1"/>
    <col min="9206" max="9206" width="33.5703125" style="1" customWidth="1"/>
    <col min="9207" max="9207" width="25.85546875" style="1" customWidth="1"/>
    <col min="9208" max="9208" width="0" style="1" hidden="1" customWidth="1"/>
    <col min="9209" max="9209" width="14.85546875" style="1" customWidth="1"/>
    <col min="9210" max="9210" width="13.85546875" style="1" customWidth="1"/>
    <col min="9211" max="9211" width="12.140625" style="1" customWidth="1"/>
    <col min="9212" max="9212" width="13.7109375" style="1" customWidth="1"/>
    <col min="9213" max="9213" width="8.5703125" style="1" customWidth="1"/>
    <col min="9214" max="9214" width="13" style="1" customWidth="1"/>
    <col min="9215" max="9215" width="9" style="1" customWidth="1"/>
    <col min="9216" max="9216" width="6.7109375" style="1" customWidth="1"/>
    <col min="9217" max="9217" width="9" style="1" customWidth="1"/>
    <col min="9218" max="9218" width="6.85546875" style="1" customWidth="1"/>
    <col min="9219" max="9219" width="10.5703125" style="1" customWidth="1"/>
    <col min="9220" max="9220" width="12.28515625" style="1" customWidth="1"/>
    <col min="9221" max="9221" width="12.5703125" style="1" customWidth="1"/>
    <col min="9222" max="9222" width="1.5703125" style="1" customWidth="1"/>
    <col min="9223" max="9223" width="45.140625" style="1" customWidth="1"/>
    <col min="9224" max="9224" width="13.140625" style="1" customWidth="1"/>
    <col min="9225" max="9225" width="10.28515625" style="1" bestFit="1" customWidth="1"/>
    <col min="9226" max="9226" width="16.28515625" style="1" bestFit="1" customWidth="1"/>
    <col min="9227" max="9227" width="11.28515625" style="1" bestFit="1" customWidth="1"/>
    <col min="9228" max="9460" width="9.140625" style="1"/>
    <col min="9461" max="9461" width="5.140625" style="1" customWidth="1"/>
    <col min="9462" max="9462" width="33.5703125" style="1" customWidth="1"/>
    <col min="9463" max="9463" width="25.85546875" style="1" customWidth="1"/>
    <col min="9464" max="9464" width="0" style="1" hidden="1" customWidth="1"/>
    <col min="9465" max="9465" width="14.85546875" style="1" customWidth="1"/>
    <col min="9466" max="9466" width="13.85546875" style="1" customWidth="1"/>
    <col min="9467" max="9467" width="12.140625" style="1" customWidth="1"/>
    <col min="9468" max="9468" width="13.7109375" style="1" customWidth="1"/>
    <col min="9469" max="9469" width="8.5703125" style="1" customWidth="1"/>
    <col min="9470" max="9470" width="13" style="1" customWidth="1"/>
    <col min="9471" max="9471" width="9" style="1" customWidth="1"/>
    <col min="9472" max="9472" width="6.7109375" style="1" customWidth="1"/>
    <col min="9473" max="9473" width="9" style="1" customWidth="1"/>
    <col min="9474" max="9474" width="6.85546875" style="1" customWidth="1"/>
    <col min="9475" max="9475" width="10.5703125" style="1" customWidth="1"/>
    <col min="9476" max="9476" width="12.28515625" style="1" customWidth="1"/>
    <col min="9477" max="9477" width="12.5703125" style="1" customWidth="1"/>
    <col min="9478" max="9478" width="1.5703125" style="1" customWidth="1"/>
    <col min="9479" max="9479" width="45.140625" style="1" customWidth="1"/>
    <col min="9480" max="9480" width="13.140625" style="1" customWidth="1"/>
    <col min="9481" max="9481" width="10.28515625" style="1" bestFit="1" customWidth="1"/>
    <col min="9482" max="9482" width="16.28515625" style="1" bestFit="1" customWidth="1"/>
    <col min="9483" max="9483" width="11.28515625" style="1" bestFit="1" customWidth="1"/>
    <col min="9484" max="9716" width="9.140625" style="1"/>
    <col min="9717" max="9717" width="5.140625" style="1" customWidth="1"/>
    <col min="9718" max="9718" width="33.5703125" style="1" customWidth="1"/>
    <col min="9719" max="9719" width="25.85546875" style="1" customWidth="1"/>
    <col min="9720" max="9720" width="0" style="1" hidden="1" customWidth="1"/>
    <col min="9721" max="9721" width="14.85546875" style="1" customWidth="1"/>
    <col min="9722" max="9722" width="13.85546875" style="1" customWidth="1"/>
    <col min="9723" max="9723" width="12.140625" style="1" customWidth="1"/>
    <col min="9724" max="9724" width="13.7109375" style="1" customWidth="1"/>
    <col min="9725" max="9725" width="8.5703125" style="1" customWidth="1"/>
    <col min="9726" max="9726" width="13" style="1" customWidth="1"/>
    <col min="9727" max="9727" width="9" style="1" customWidth="1"/>
    <col min="9728" max="9728" width="6.7109375" style="1" customWidth="1"/>
    <col min="9729" max="9729" width="9" style="1" customWidth="1"/>
    <col min="9730" max="9730" width="6.85546875" style="1" customWidth="1"/>
    <col min="9731" max="9731" width="10.5703125" style="1" customWidth="1"/>
    <col min="9732" max="9732" width="12.28515625" style="1" customWidth="1"/>
    <col min="9733" max="9733" width="12.5703125" style="1" customWidth="1"/>
    <col min="9734" max="9734" width="1.5703125" style="1" customWidth="1"/>
    <col min="9735" max="9735" width="45.140625" style="1" customWidth="1"/>
    <col min="9736" max="9736" width="13.140625" style="1" customWidth="1"/>
    <col min="9737" max="9737" width="10.28515625" style="1" bestFit="1" customWidth="1"/>
    <col min="9738" max="9738" width="16.28515625" style="1" bestFit="1" customWidth="1"/>
    <col min="9739" max="9739" width="11.28515625" style="1" bestFit="1" customWidth="1"/>
    <col min="9740" max="9972" width="9.140625" style="1"/>
    <col min="9973" max="9973" width="5.140625" style="1" customWidth="1"/>
    <col min="9974" max="9974" width="33.5703125" style="1" customWidth="1"/>
    <col min="9975" max="9975" width="25.85546875" style="1" customWidth="1"/>
    <col min="9976" max="9976" width="0" style="1" hidden="1" customWidth="1"/>
    <col min="9977" max="9977" width="14.85546875" style="1" customWidth="1"/>
    <col min="9978" max="9978" width="13.85546875" style="1" customWidth="1"/>
    <col min="9979" max="9979" width="12.140625" style="1" customWidth="1"/>
    <col min="9980" max="9980" width="13.7109375" style="1" customWidth="1"/>
    <col min="9981" max="9981" width="8.5703125" style="1" customWidth="1"/>
    <col min="9982" max="9982" width="13" style="1" customWidth="1"/>
    <col min="9983" max="9983" width="9" style="1" customWidth="1"/>
    <col min="9984" max="9984" width="6.7109375" style="1" customWidth="1"/>
    <col min="9985" max="9985" width="9" style="1" customWidth="1"/>
    <col min="9986" max="9986" width="6.85546875" style="1" customWidth="1"/>
    <col min="9987" max="9987" width="10.5703125" style="1" customWidth="1"/>
    <col min="9988" max="9988" width="12.28515625" style="1" customWidth="1"/>
    <col min="9989" max="9989" width="12.5703125" style="1" customWidth="1"/>
    <col min="9990" max="9990" width="1.5703125" style="1" customWidth="1"/>
    <col min="9991" max="9991" width="45.140625" style="1" customWidth="1"/>
    <col min="9992" max="9992" width="13.140625" style="1" customWidth="1"/>
    <col min="9993" max="9993" width="10.28515625" style="1" bestFit="1" customWidth="1"/>
    <col min="9994" max="9994" width="16.28515625" style="1" bestFit="1" customWidth="1"/>
    <col min="9995" max="9995" width="11.28515625" style="1" bestFit="1" customWidth="1"/>
    <col min="9996" max="10228" width="9.140625" style="1"/>
    <col min="10229" max="10229" width="5.140625" style="1" customWidth="1"/>
    <col min="10230" max="10230" width="33.5703125" style="1" customWidth="1"/>
    <col min="10231" max="10231" width="25.85546875" style="1" customWidth="1"/>
    <col min="10232" max="10232" width="0" style="1" hidden="1" customWidth="1"/>
    <col min="10233" max="10233" width="14.85546875" style="1" customWidth="1"/>
    <col min="10234" max="10234" width="13.85546875" style="1" customWidth="1"/>
    <col min="10235" max="10235" width="12.140625" style="1" customWidth="1"/>
    <col min="10236" max="10236" width="13.7109375" style="1" customWidth="1"/>
    <col min="10237" max="10237" width="8.5703125" style="1" customWidth="1"/>
    <col min="10238" max="10238" width="13" style="1" customWidth="1"/>
    <col min="10239" max="10239" width="9" style="1" customWidth="1"/>
    <col min="10240" max="10240" width="6.7109375" style="1" customWidth="1"/>
    <col min="10241" max="10241" width="9" style="1" customWidth="1"/>
    <col min="10242" max="10242" width="6.85546875" style="1" customWidth="1"/>
    <col min="10243" max="10243" width="10.5703125" style="1" customWidth="1"/>
    <col min="10244" max="10244" width="12.28515625" style="1" customWidth="1"/>
    <col min="10245" max="10245" width="12.5703125" style="1" customWidth="1"/>
    <col min="10246" max="10246" width="1.5703125" style="1" customWidth="1"/>
    <col min="10247" max="10247" width="45.140625" style="1" customWidth="1"/>
    <col min="10248" max="10248" width="13.140625" style="1" customWidth="1"/>
    <col min="10249" max="10249" width="10.28515625" style="1" bestFit="1" customWidth="1"/>
    <col min="10250" max="10250" width="16.28515625" style="1" bestFit="1" customWidth="1"/>
    <col min="10251" max="10251" width="11.28515625" style="1" bestFit="1" customWidth="1"/>
    <col min="10252" max="10484" width="9.140625" style="1"/>
    <col min="10485" max="10485" width="5.140625" style="1" customWidth="1"/>
    <col min="10486" max="10486" width="33.5703125" style="1" customWidth="1"/>
    <col min="10487" max="10487" width="25.85546875" style="1" customWidth="1"/>
    <col min="10488" max="10488" width="0" style="1" hidden="1" customWidth="1"/>
    <col min="10489" max="10489" width="14.85546875" style="1" customWidth="1"/>
    <col min="10490" max="10490" width="13.85546875" style="1" customWidth="1"/>
    <col min="10491" max="10491" width="12.140625" style="1" customWidth="1"/>
    <col min="10492" max="10492" width="13.7109375" style="1" customWidth="1"/>
    <col min="10493" max="10493" width="8.5703125" style="1" customWidth="1"/>
    <col min="10494" max="10494" width="13" style="1" customWidth="1"/>
    <col min="10495" max="10495" width="9" style="1" customWidth="1"/>
    <col min="10496" max="10496" width="6.7109375" style="1" customWidth="1"/>
    <col min="10497" max="10497" width="9" style="1" customWidth="1"/>
    <col min="10498" max="10498" width="6.85546875" style="1" customWidth="1"/>
    <col min="10499" max="10499" width="10.5703125" style="1" customWidth="1"/>
    <col min="10500" max="10500" width="12.28515625" style="1" customWidth="1"/>
    <col min="10501" max="10501" width="12.5703125" style="1" customWidth="1"/>
    <col min="10502" max="10502" width="1.5703125" style="1" customWidth="1"/>
    <col min="10503" max="10503" width="45.140625" style="1" customWidth="1"/>
    <col min="10504" max="10504" width="13.140625" style="1" customWidth="1"/>
    <col min="10505" max="10505" width="10.28515625" style="1" bestFit="1" customWidth="1"/>
    <col min="10506" max="10506" width="16.28515625" style="1" bestFit="1" customWidth="1"/>
    <col min="10507" max="10507" width="11.28515625" style="1" bestFit="1" customWidth="1"/>
    <col min="10508" max="10740" width="9.140625" style="1"/>
    <col min="10741" max="10741" width="5.140625" style="1" customWidth="1"/>
    <col min="10742" max="10742" width="33.5703125" style="1" customWidth="1"/>
    <col min="10743" max="10743" width="25.85546875" style="1" customWidth="1"/>
    <col min="10744" max="10744" width="0" style="1" hidden="1" customWidth="1"/>
    <col min="10745" max="10745" width="14.85546875" style="1" customWidth="1"/>
    <col min="10746" max="10746" width="13.85546875" style="1" customWidth="1"/>
    <col min="10747" max="10747" width="12.140625" style="1" customWidth="1"/>
    <col min="10748" max="10748" width="13.7109375" style="1" customWidth="1"/>
    <col min="10749" max="10749" width="8.5703125" style="1" customWidth="1"/>
    <col min="10750" max="10750" width="13" style="1" customWidth="1"/>
    <col min="10751" max="10751" width="9" style="1" customWidth="1"/>
    <col min="10752" max="10752" width="6.7109375" style="1" customWidth="1"/>
    <col min="10753" max="10753" width="9" style="1" customWidth="1"/>
    <col min="10754" max="10754" width="6.85546875" style="1" customWidth="1"/>
    <col min="10755" max="10755" width="10.5703125" style="1" customWidth="1"/>
    <col min="10756" max="10756" width="12.28515625" style="1" customWidth="1"/>
    <col min="10757" max="10757" width="12.5703125" style="1" customWidth="1"/>
    <col min="10758" max="10758" width="1.5703125" style="1" customWidth="1"/>
    <col min="10759" max="10759" width="45.140625" style="1" customWidth="1"/>
    <col min="10760" max="10760" width="13.140625" style="1" customWidth="1"/>
    <col min="10761" max="10761" width="10.28515625" style="1" bestFit="1" customWidth="1"/>
    <col min="10762" max="10762" width="16.28515625" style="1" bestFit="1" customWidth="1"/>
    <col min="10763" max="10763" width="11.28515625" style="1" bestFit="1" customWidth="1"/>
    <col min="10764" max="10996" width="9.140625" style="1"/>
    <col min="10997" max="10997" width="5.140625" style="1" customWidth="1"/>
    <col min="10998" max="10998" width="33.5703125" style="1" customWidth="1"/>
    <col min="10999" max="10999" width="25.85546875" style="1" customWidth="1"/>
    <col min="11000" max="11000" width="0" style="1" hidden="1" customWidth="1"/>
    <col min="11001" max="11001" width="14.85546875" style="1" customWidth="1"/>
    <col min="11002" max="11002" width="13.85546875" style="1" customWidth="1"/>
    <col min="11003" max="11003" width="12.140625" style="1" customWidth="1"/>
    <col min="11004" max="11004" width="13.7109375" style="1" customWidth="1"/>
    <col min="11005" max="11005" width="8.5703125" style="1" customWidth="1"/>
    <col min="11006" max="11006" width="13" style="1" customWidth="1"/>
    <col min="11007" max="11007" width="9" style="1" customWidth="1"/>
    <col min="11008" max="11008" width="6.7109375" style="1" customWidth="1"/>
    <col min="11009" max="11009" width="9" style="1" customWidth="1"/>
    <col min="11010" max="11010" width="6.85546875" style="1" customWidth="1"/>
    <col min="11011" max="11011" width="10.5703125" style="1" customWidth="1"/>
    <col min="11012" max="11012" width="12.28515625" style="1" customWidth="1"/>
    <col min="11013" max="11013" width="12.5703125" style="1" customWidth="1"/>
    <col min="11014" max="11014" width="1.5703125" style="1" customWidth="1"/>
    <col min="11015" max="11015" width="45.140625" style="1" customWidth="1"/>
    <col min="11016" max="11016" width="13.140625" style="1" customWidth="1"/>
    <col min="11017" max="11017" width="10.28515625" style="1" bestFit="1" customWidth="1"/>
    <col min="11018" max="11018" width="16.28515625" style="1" bestFit="1" customWidth="1"/>
    <col min="11019" max="11019" width="11.28515625" style="1" bestFit="1" customWidth="1"/>
    <col min="11020" max="11252" width="9.140625" style="1"/>
    <col min="11253" max="11253" width="5.140625" style="1" customWidth="1"/>
    <col min="11254" max="11254" width="33.5703125" style="1" customWidth="1"/>
    <col min="11255" max="11255" width="25.85546875" style="1" customWidth="1"/>
    <col min="11256" max="11256" width="0" style="1" hidden="1" customWidth="1"/>
    <col min="11257" max="11257" width="14.85546875" style="1" customWidth="1"/>
    <col min="11258" max="11258" width="13.85546875" style="1" customWidth="1"/>
    <col min="11259" max="11259" width="12.140625" style="1" customWidth="1"/>
    <col min="11260" max="11260" width="13.7109375" style="1" customWidth="1"/>
    <col min="11261" max="11261" width="8.5703125" style="1" customWidth="1"/>
    <col min="11262" max="11262" width="13" style="1" customWidth="1"/>
    <col min="11263" max="11263" width="9" style="1" customWidth="1"/>
    <col min="11264" max="11264" width="6.7109375" style="1" customWidth="1"/>
    <col min="11265" max="11265" width="9" style="1" customWidth="1"/>
    <col min="11266" max="11266" width="6.85546875" style="1" customWidth="1"/>
    <col min="11267" max="11267" width="10.5703125" style="1" customWidth="1"/>
    <col min="11268" max="11268" width="12.28515625" style="1" customWidth="1"/>
    <col min="11269" max="11269" width="12.5703125" style="1" customWidth="1"/>
    <col min="11270" max="11270" width="1.5703125" style="1" customWidth="1"/>
    <col min="11271" max="11271" width="45.140625" style="1" customWidth="1"/>
    <col min="11272" max="11272" width="13.140625" style="1" customWidth="1"/>
    <col min="11273" max="11273" width="10.28515625" style="1" bestFit="1" customWidth="1"/>
    <col min="11274" max="11274" width="16.28515625" style="1" bestFit="1" customWidth="1"/>
    <col min="11275" max="11275" width="11.28515625" style="1" bestFit="1" customWidth="1"/>
    <col min="11276" max="11508" width="9.140625" style="1"/>
    <col min="11509" max="11509" width="5.140625" style="1" customWidth="1"/>
    <col min="11510" max="11510" width="33.5703125" style="1" customWidth="1"/>
    <col min="11511" max="11511" width="25.85546875" style="1" customWidth="1"/>
    <col min="11512" max="11512" width="0" style="1" hidden="1" customWidth="1"/>
    <col min="11513" max="11513" width="14.85546875" style="1" customWidth="1"/>
    <col min="11514" max="11514" width="13.85546875" style="1" customWidth="1"/>
    <col min="11515" max="11515" width="12.140625" style="1" customWidth="1"/>
    <col min="11516" max="11516" width="13.7109375" style="1" customWidth="1"/>
    <col min="11517" max="11517" width="8.5703125" style="1" customWidth="1"/>
    <col min="11518" max="11518" width="13" style="1" customWidth="1"/>
    <col min="11519" max="11519" width="9" style="1" customWidth="1"/>
    <col min="11520" max="11520" width="6.7109375" style="1" customWidth="1"/>
    <col min="11521" max="11521" width="9" style="1" customWidth="1"/>
    <col min="11522" max="11522" width="6.85546875" style="1" customWidth="1"/>
    <col min="11523" max="11523" width="10.5703125" style="1" customWidth="1"/>
    <col min="11524" max="11524" width="12.28515625" style="1" customWidth="1"/>
    <col min="11525" max="11525" width="12.5703125" style="1" customWidth="1"/>
    <col min="11526" max="11526" width="1.5703125" style="1" customWidth="1"/>
    <col min="11527" max="11527" width="45.140625" style="1" customWidth="1"/>
    <col min="11528" max="11528" width="13.140625" style="1" customWidth="1"/>
    <col min="11529" max="11529" width="10.28515625" style="1" bestFit="1" customWidth="1"/>
    <col min="11530" max="11530" width="16.28515625" style="1" bestFit="1" customWidth="1"/>
    <col min="11531" max="11531" width="11.28515625" style="1" bestFit="1" customWidth="1"/>
    <col min="11532" max="11764" width="9.140625" style="1"/>
    <col min="11765" max="11765" width="5.140625" style="1" customWidth="1"/>
    <col min="11766" max="11766" width="33.5703125" style="1" customWidth="1"/>
    <col min="11767" max="11767" width="25.85546875" style="1" customWidth="1"/>
    <col min="11768" max="11768" width="0" style="1" hidden="1" customWidth="1"/>
    <col min="11769" max="11769" width="14.85546875" style="1" customWidth="1"/>
    <col min="11770" max="11770" width="13.85546875" style="1" customWidth="1"/>
    <col min="11771" max="11771" width="12.140625" style="1" customWidth="1"/>
    <col min="11772" max="11772" width="13.7109375" style="1" customWidth="1"/>
    <col min="11773" max="11773" width="8.5703125" style="1" customWidth="1"/>
    <col min="11774" max="11774" width="13" style="1" customWidth="1"/>
    <col min="11775" max="11775" width="9" style="1" customWidth="1"/>
    <col min="11776" max="11776" width="6.7109375" style="1" customWidth="1"/>
    <col min="11777" max="11777" width="9" style="1" customWidth="1"/>
    <col min="11778" max="11778" width="6.85546875" style="1" customWidth="1"/>
    <col min="11779" max="11779" width="10.5703125" style="1" customWidth="1"/>
    <col min="11780" max="11780" width="12.28515625" style="1" customWidth="1"/>
    <col min="11781" max="11781" width="12.5703125" style="1" customWidth="1"/>
    <col min="11782" max="11782" width="1.5703125" style="1" customWidth="1"/>
    <col min="11783" max="11783" width="45.140625" style="1" customWidth="1"/>
    <col min="11784" max="11784" width="13.140625" style="1" customWidth="1"/>
    <col min="11785" max="11785" width="10.28515625" style="1" bestFit="1" customWidth="1"/>
    <col min="11786" max="11786" width="16.28515625" style="1" bestFit="1" customWidth="1"/>
    <col min="11787" max="11787" width="11.28515625" style="1" bestFit="1" customWidth="1"/>
    <col min="11788" max="12020" width="9.140625" style="1"/>
    <col min="12021" max="12021" width="5.140625" style="1" customWidth="1"/>
    <col min="12022" max="12022" width="33.5703125" style="1" customWidth="1"/>
    <col min="12023" max="12023" width="25.85546875" style="1" customWidth="1"/>
    <col min="12024" max="12024" width="0" style="1" hidden="1" customWidth="1"/>
    <col min="12025" max="12025" width="14.85546875" style="1" customWidth="1"/>
    <col min="12026" max="12026" width="13.85546875" style="1" customWidth="1"/>
    <col min="12027" max="12027" width="12.140625" style="1" customWidth="1"/>
    <col min="12028" max="12028" width="13.7109375" style="1" customWidth="1"/>
    <col min="12029" max="12029" width="8.5703125" style="1" customWidth="1"/>
    <col min="12030" max="12030" width="13" style="1" customWidth="1"/>
    <col min="12031" max="12031" width="9" style="1" customWidth="1"/>
    <col min="12032" max="12032" width="6.7109375" style="1" customWidth="1"/>
    <col min="12033" max="12033" width="9" style="1" customWidth="1"/>
    <col min="12034" max="12034" width="6.85546875" style="1" customWidth="1"/>
    <col min="12035" max="12035" width="10.5703125" style="1" customWidth="1"/>
    <col min="12036" max="12036" width="12.28515625" style="1" customWidth="1"/>
    <col min="12037" max="12037" width="12.5703125" style="1" customWidth="1"/>
    <col min="12038" max="12038" width="1.5703125" style="1" customWidth="1"/>
    <col min="12039" max="12039" width="45.140625" style="1" customWidth="1"/>
    <col min="12040" max="12040" width="13.140625" style="1" customWidth="1"/>
    <col min="12041" max="12041" width="10.28515625" style="1" bestFit="1" customWidth="1"/>
    <col min="12042" max="12042" width="16.28515625" style="1" bestFit="1" customWidth="1"/>
    <col min="12043" max="12043" width="11.28515625" style="1" bestFit="1" customWidth="1"/>
    <col min="12044" max="12276" width="9.140625" style="1"/>
    <col min="12277" max="12277" width="5.140625" style="1" customWidth="1"/>
    <col min="12278" max="12278" width="33.5703125" style="1" customWidth="1"/>
    <col min="12279" max="12279" width="25.85546875" style="1" customWidth="1"/>
    <col min="12280" max="12280" width="0" style="1" hidden="1" customWidth="1"/>
    <col min="12281" max="12281" width="14.85546875" style="1" customWidth="1"/>
    <col min="12282" max="12282" width="13.85546875" style="1" customWidth="1"/>
    <col min="12283" max="12283" width="12.140625" style="1" customWidth="1"/>
    <col min="12284" max="12284" width="13.7109375" style="1" customWidth="1"/>
    <col min="12285" max="12285" width="8.5703125" style="1" customWidth="1"/>
    <col min="12286" max="12286" width="13" style="1" customWidth="1"/>
    <col min="12287" max="12287" width="9" style="1" customWidth="1"/>
    <col min="12288" max="12288" width="6.7109375" style="1" customWidth="1"/>
    <col min="12289" max="12289" width="9" style="1" customWidth="1"/>
    <col min="12290" max="12290" width="6.85546875" style="1" customWidth="1"/>
    <col min="12291" max="12291" width="10.5703125" style="1" customWidth="1"/>
    <col min="12292" max="12292" width="12.28515625" style="1" customWidth="1"/>
    <col min="12293" max="12293" width="12.5703125" style="1" customWidth="1"/>
    <col min="12294" max="12294" width="1.5703125" style="1" customWidth="1"/>
    <col min="12295" max="12295" width="45.140625" style="1" customWidth="1"/>
    <col min="12296" max="12296" width="13.140625" style="1" customWidth="1"/>
    <col min="12297" max="12297" width="10.28515625" style="1" bestFit="1" customWidth="1"/>
    <col min="12298" max="12298" width="16.28515625" style="1" bestFit="1" customWidth="1"/>
    <col min="12299" max="12299" width="11.28515625" style="1" bestFit="1" customWidth="1"/>
    <col min="12300" max="12532" width="9.140625" style="1"/>
    <col min="12533" max="12533" width="5.140625" style="1" customWidth="1"/>
    <col min="12534" max="12534" width="33.5703125" style="1" customWidth="1"/>
    <col min="12535" max="12535" width="25.85546875" style="1" customWidth="1"/>
    <col min="12536" max="12536" width="0" style="1" hidden="1" customWidth="1"/>
    <col min="12537" max="12537" width="14.85546875" style="1" customWidth="1"/>
    <col min="12538" max="12538" width="13.85546875" style="1" customWidth="1"/>
    <col min="12539" max="12539" width="12.140625" style="1" customWidth="1"/>
    <col min="12540" max="12540" width="13.7109375" style="1" customWidth="1"/>
    <col min="12541" max="12541" width="8.5703125" style="1" customWidth="1"/>
    <col min="12542" max="12542" width="13" style="1" customWidth="1"/>
    <col min="12543" max="12543" width="9" style="1" customWidth="1"/>
    <col min="12544" max="12544" width="6.7109375" style="1" customWidth="1"/>
    <col min="12545" max="12545" width="9" style="1" customWidth="1"/>
    <col min="12546" max="12546" width="6.85546875" style="1" customWidth="1"/>
    <col min="12547" max="12547" width="10.5703125" style="1" customWidth="1"/>
    <col min="12548" max="12548" width="12.28515625" style="1" customWidth="1"/>
    <col min="12549" max="12549" width="12.5703125" style="1" customWidth="1"/>
    <col min="12550" max="12550" width="1.5703125" style="1" customWidth="1"/>
    <col min="12551" max="12551" width="45.140625" style="1" customWidth="1"/>
    <col min="12552" max="12552" width="13.140625" style="1" customWidth="1"/>
    <col min="12553" max="12553" width="10.28515625" style="1" bestFit="1" customWidth="1"/>
    <col min="12554" max="12554" width="16.28515625" style="1" bestFit="1" customWidth="1"/>
    <col min="12555" max="12555" width="11.28515625" style="1" bestFit="1" customWidth="1"/>
    <col min="12556" max="12788" width="9.140625" style="1"/>
    <col min="12789" max="12789" width="5.140625" style="1" customWidth="1"/>
    <col min="12790" max="12790" width="33.5703125" style="1" customWidth="1"/>
    <col min="12791" max="12791" width="25.85546875" style="1" customWidth="1"/>
    <col min="12792" max="12792" width="0" style="1" hidden="1" customWidth="1"/>
    <col min="12793" max="12793" width="14.85546875" style="1" customWidth="1"/>
    <col min="12794" max="12794" width="13.85546875" style="1" customWidth="1"/>
    <col min="12795" max="12795" width="12.140625" style="1" customWidth="1"/>
    <col min="12796" max="12796" width="13.7109375" style="1" customWidth="1"/>
    <col min="12797" max="12797" width="8.5703125" style="1" customWidth="1"/>
    <col min="12798" max="12798" width="13" style="1" customWidth="1"/>
    <col min="12799" max="12799" width="9" style="1" customWidth="1"/>
    <col min="12800" max="12800" width="6.7109375" style="1" customWidth="1"/>
    <col min="12801" max="12801" width="9" style="1" customWidth="1"/>
    <col min="12802" max="12802" width="6.85546875" style="1" customWidth="1"/>
    <col min="12803" max="12803" width="10.5703125" style="1" customWidth="1"/>
    <col min="12804" max="12804" width="12.28515625" style="1" customWidth="1"/>
    <col min="12805" max="12805" width="12.5703125" style="1" customWidth="1"/>
    <col min="12806" max="12806" width="1.5703125" style="1" customWidth="1"/>
    <col min="12807" max="12807" width="45.140625" style="1" customWidth="1"/>
    <col min="12808" max="12808" width="13.140625" style="1" customWidth="1"/>
    <col min="12809" max="12809" width="10.28515625" style="1" bestFit="1" customWidth="1"/>
    <col min="12810" max="12810" width="16.28515625" style="1" bestFit="1" customWidth="1"/>
    <col min="12811" max="12811" width="11.28515625" style="1" bestFit="1" customWidth="1"/>
    <col min="12812" max="13044" width="9.140625" style="1"/>
    <col min="13045" max="13045" width="5.140625" style="1" customWidth="1"/>
    <col min="13046" max="13046" width="33.5703125" style="1" customWidth="1"/>
    <col min="13047" max="13047" width="25.85546875" style="1" customWidth="1"/>
    <col min="13048" max="13048" width="0" style="1" hidden="1" customWidth="1"/>
    <col min="13049" max="13049" width="14.85546875" style="1" customWidth="1"/>
    <col min="13050" max="13050" width="13.85546875" style="1" customWidth="1"/>
    <col min="13051" max="13051" width="12.140625" style="1" customWidth="1"/>
    <col min="13052" max="13052" width="13.7109375" style="1" customWidth="1"/>
    <col min="13053" max="13053" width="8.5703125" style="1" customWidth="1"/>
    <col min="13054" max="13054" width="13" style="1" customWidth="1"/>
    <col min="13055" max="13055" width="9" style="1" customWidth="1"/>
    <col min="13056" max="13056" width="6.7109375" style="1" customWidth="1"/>
    <col min="13057" max="13057" width="9" style="1" customWidth="1"/>
    <col min="13058" max="13058" width="6.85546875" style="1" customWidth="1"/>
    <col min="13059" max="13059" width="10.5703125" style="1" customWidth="1"/>
    <col min="13060" max="13060" width="12.28515625" style="1" customWidth="1"/>
    <col min="13061" max="13061" width="12.5703125" style="1" customWidth="1"/>
    <col min="13062" max="13062" width="1.5703125" style="1" customWidth="1"/>
    <col min="13063" max="13063" width="45.140625" style="1" customWidth="1"/>
    <col min="13064" max="13064" width="13.140625" style="1" customWidth="1"/>
    <col min="13065" max="13065" width="10.28515625" style="1" bestFit="1" customWidth="1"/>
    <col min="13066" max="13066" width="16.28515625" style="1" bestFit="1" customWidth="1"/>
    <col min="13067" max="13067" width="11.28515625" style="1" bestFit="1" customWidth="1"/>
    <col min="13068" max="13300" width="9.140625" style="1"/>
    <col min="13301" max="13301" width="5.140625" style="1" customWidth="1"/>
    <col min="13302" max="13302" width="33.5703125" style="1" customWidth="1"/>
    <col min="13303" max="13303" width="25.85546875" style="1" customWidth="1"/>
    <col min="13304" max="13304" width="0" style="1" hidden="1" customWidth="1"/>
    <col min="13305" max="13305" width="14.85546875" style="1" customWidth="1"/>
    <col min="13306" max="13306" width="13.85546875" style="1" customWidth="1"/>
    <col min="13307" max="13307" width="12.140625" style="1" customWidth="1"/>
    <col min="13308" max="13308" width="13.7109375" style="1" customWidth="1"/>
    <col min="13309" max="13309" width="8.5703125" style="1" customWidth="1"/>
    <col min="13310" max="13310" width="13" style="1" customWidth="1"/>
    <col min="13311" max="13311" width="9" style="1" customWidth="1"/>
    <col min="13312" max="13312" width="6.7109375" style="1" customWidth="1"/>
    <col min="13313" max="13313" width="9" style="1" customWidth="1"/>
    <col min="13314" max="13314" width="6.85546875" style="1" customWidth="1"/>
    <col min="13315" max="13315" width="10.5703125" style="1" customWidth="1"/>
    <col min="13316" max="13316" width="12.28515625" style="1" customWidth="1"/>
    <col min="13317" max="13317" width="12.5703125" style="1" customWidth="1"/>
    <col min="13318" max="13318" width="1.5703125" style="1" customWidth="1"/>
    <col min="13319" max="13319" width="45.140625" style="1" customWidth="1"/>
    <col min="13320" max="13320" width="13.140625" style="1" customWidth="1"/>
    <col min="13321" max="13321" width="10.28515625" style="1" bestFit="1" customWidth="1"/>
    <col min="13322" max="13322" width="16.28515625" style="1" bestFit="1" customWidth="1"/>
    <col min="13323" max="13323" width="11.28515625" style="1" bestFit="1" customWidth="1"/>
    <col min="13324" max="13556" width="9.140625" style="1"/>
    <col min="13557" max="13557" width="5.140625" style="1" customWidth="1"/>
    <col min="13558" max="13558" width="33.5703125" style="1" customWidth="1"/>
    <col min="13559" max="13559" width="25.85546875" style="1" customWidth="1"/>
    <col min="13560" max="13560" width="0" style="1" hidden="1" customWidth="1"/>
    <col min="13561" max="13561" width="14.85546875" style="1" customWidth="1"/>
    <col min="13562" max="13562" width="13.85546875" style="1" customWidth="1"/>
    <col min="13563" max="13563" width="12.140625" style="1" customWidth="1"/>
    <col min="13564" max="13564" width="13.7109375" style="1" customWidth="1"/>
    <col min="13565" max="13565" width="8.5703125" style="1" customWidth="1"/>
    <col min="13566" max="13566" width="13" style="1" customWidth="1"/>
    <col min="13567" max="13567" width="9" style="1" customWidth="1"/>
    <col min="13568" max="13568" width="6.7109375" style="1" customWidth="1"/>
    <col min="13569" max="13569" width="9" style="1" customWidth="1"/>
    <col min="13570" max="13570" width="6.85546875" style="1" customWidth="1"/>
    <col min="13571" max="13571" width="10.5703125" style="1" customWidth="1"/>
    <col min="13572" max="13572" width="12.28515625" style="1" customWidth="1"/>
    <col min="13573" max="13573" width="12.5703125" style="1" customWidth="1"/>
    <col min="13574" max="13574" width="1.5703125" style="1" customWidth="1"/>
    <col min="13575" max="13575" width="45.140625" style="1" customWidth="1"/>
    <col min="13576" max="13576" width="13.140625" style="1" customWidth="1"/>
    <col min="13577" max="13577" width="10.28515625" style="1" bestFit="1" customWidth="1"/>
    <col min="13578" max="13578" width="16.28515625" style="1" bestFit="1" customWidth="1"/>
    <col min="13579" max="13579" width="11.28515625" style="1" bestFit="1" customWidth="1"/>
    <col min="13580" max="13812" width="9.140625" style="1"/>
    <col min="13813" max="13813" width="5.140625" style="1" customWidth="1"/>
    <col min="13814" max="13814" width="33.5703125" style="1" customWidth="1"/>
    <col min="13815" max="13815" width="25.85546875" style="1" customWidth="1"/>
    <col min="13816" max="13816" width="0" style="1" hidden="1" customWidth="1"/>
    <col min="13817" max="13817" width="14.85546875" style="1" customWidth="1"/>
    <col min="13818" max="13818" width="13.85546875" style="1" customWidth="1"/>
    <col min="13819" max="13819" width="12.140625" style="1" customWidth="1"/>
    <col min="13820" max="13820" width="13.7109375" style="1" customWidth="1"/>
    <col min="13821" max="13821" width="8.5703125" style="1" customWidth="1"/>
    <col min="13822" max="13822" width="13" style="1" customWidth="1"/>
    <col min="13823" max="13823" width="9" style="1" customWidth="1"/>
    <col min="13824" max="13824" width="6.7109375" style="1" customWidth="1"/>
    <col min="13825" max="13825" width="9" style="1" customWidth="1"/>
    <col min="13826" max="13826" width="6.85546875" style="1" customWidth="1"/>
    <col min="13827" max="13827" width="10.5703125" style="1" customWidth="1"/>
    <col min="13828" max="13828" width="12.28515625" style="1" customWidth="1"/>
    <col min="13829" max="13829" width="12.5703125" style="1" customWidth="1"/>
    <col min="13830" max="13830" width="1.5703125" style="1" customWidth="1"/>
    <col min="13831" max="13831" width="45.140625" style="1" customWidth="1"/>
    <col min="13832" max="13832" width="13.140625" style="1" customWidth="1"/>
    <col min="13833" max="13833" width="10.28515625" style="1" bestFit="1" customWidth="1"/>
    <col min="13834" max="13834" width="16.28515625" style="1" bestFit="1" customWidth="1"/>
    <col min="13835" max="13835" width="11.28515625" style="1" bestFit="1" customWidth="1"/>
    <col min="13836" max="14068" width="9.140625" style="1"/>
    <col min="14069" max="14069" width="5.140625" style="1" customWidth="1"/>
    <col min="14070" max="14070" width="33.5703125" style="1" customWidth="1"/>
    <col min="14071" max="14071" width="25.85546875" style="1" customWidth="1"/>
    <col min="14072" max="14072" width="0" style="1" hidden="1" customWidth="1"/>
    <col min="14073" max="14073" width="14.85546875" style="1" customWidth="1"/>
    <col min="14074" max="14074" width="13.85546875" style="1" customWidth="1"/>
    <col min="14075" max="14075" width="12.140625" style="1" customWidth="1"/>
    <col min="14076" max="14076" width="13.7109375" style="1" customWidth="1"/>
    <col min="14077" max="14077" width="8.5703125" style="1" customWidth="1"/>
    <col min="14078" max="14078" width="13" style="1" customWidth="1"/>
    <col min="14079" max="14079" width="9" style="1" customWidth="1"/>
    <col min="14080" max="14080" width="6.7109375" style="1" customWidth="1"/>
    <col min="14081" max="14081" width="9" style="1" customWidth="1"/>
    <col min="14082" max="14082" width="6.85546875" style="1" customWidth="1"/>
    <col min="14083" max="14083" width="10.5703125" style="1" customWidth="1"/>
    <col min="14084" max="14084" width="12.28515625" style="1" customWidth="1"/>
    <col min="14085" max="14085" width="12.5703125" style="1" customWidth="1"/>
    <col min="14086" max="14086" width="1.5703125" style="1" customWidth="1"/>
    <col min="14087" max="14087" width="45.140625" style="1" customWidth="1"/>
    <col min="14088" max="14088" width="13.140625" style="1" customWidth="1"/>
    <col min="14089" max="14089" width="10.28515625" style="1" bestFit="1" customWidth="1"/>
    <col min="14090" max="14090" width="16.28515625" style="1" bestFit="1" customWidth="1"/>
    <col min="14091" max="14091" width="11.28515625" style="1" bestFit="1" customWidth="1"/>
    <col min="14092" max="14324" width="9.140625" style="1"/>
    <col min="14325" max="14325" width="5.140625" style="1" customWidth="1"/>
    <col min="14326" max="14326" width="33.5703125" style="1" customWidth="1"/>
    <col min="14327" max="14327" width="25.85546875" style="1" customWidth="1"/>
    <col min="14328" max="14328" width="0" style="1" hidden="1" customWidth="1"/>
    <col min="14329" max="14329" width="14.85546875" style="1" customWidth="1"/>
    <col min="14330" max="14330" width="13.85546875" style="1" customWidth="1"/>
    <col min="14331" max="14331" width="12.140625" style="1" customWidth="1"/>
    <col min="14332" max="14332" width="13.7109375" style="1" customWidth="1"/>
    <col min="14333" max="14333" width="8.5703125" style="1" customWidth="1"/>
    <col min="14334" max="14334" width="13" style="1" customWidth="1"/>
    <col min="14335" max="14335" width="9" style="1" customWidth="1"/>
    <col min="14336" max="14336" width="6.7109375" style="1" customWidth="1"/>
    <col min="14337" max="14337" width="9" style="1" customWidth="1"/>
    <col min="14338" max="14338" width="6.85546875" style="1" customWidth="1"/>
    <col min="14339" max="14339" width="10.5703125" style="1" customWidth="1"/>
    <col min="14340" max="14340" width="12.28515625" style="1" customWidth="1"/>
    <col min="14341" max="14341" width="12.5703125" style="1" customWidth="1"/>
    <col min="14342" max="14342" width="1.5703125" style="1" customWidth="1"/>
    <col min="14343" max="14343" width="45.140625" style="1" customWidth="1"/>
    <col min="14344" max="14344" width="13.140625" style="1" customWidth="1"/>
    <col min="14345" max="14345" width="10.28515625" style="1" bestFit="1" customWidth="1"/>
    <col min="14346" max="14346" width="16.28515625" style="1" bestFit="1" customWidth="1"/>
    <col min="14347" max="14347" width="11.28515625" style="1" bestFit="1" customWidth="1"/>
    <col min="14348" max="14580" width="9.140625" style="1"/>
    <col min="14581" max="14581" width="5.140625" style="1" customWidth="1"/>
    <col min="14582" max="14582" width="33.5703125" style="1" customWidth="1"/>
    <col min="14583" max="14583" width="25.85546875" style="1" customWidth="1"/>
    <col min="14584" max="14584" width="0" style="1" hidden="1" customWidth="1"/>
    <col min="14585" max="14585" width="14.85546875" style="1" customWidth="1"/>
    <col min="14586" max="14586" width="13.85546875" style="1" customWidth="1"/>
    <col min="14587" max="14587" width="12.140625" style="1" customWidth="1"/>
    <col min="14588" max="14588" width="13.7109375" style="1" customWidth="1"/>
    <col min="14589" max="14589" width="8.5703125" style="1" customWidth="1"/>
    <col min="14590" max="14590" width="13" style="1" customWidth="1"/>
    <col min="14591" max="14591" width="9" style="1" customWidth="1"/>
    <col min="14592" max="14592" width="6.7109375" style="1" customWidth="1"/>
    <col min="14593" max="14593" width="9" style="1" customWidth="1"/>
    <col min="14594" max="14594" width="6.85546875" style="1" customWidth="1"/>
    <col min="14595" max="14595" width="10.5703125" style="1" customWidth="1"/>
    <col min="14596" max="14596" width="12.28515625" style="1" customWidth="1"/>
    <col min="14597" max="14597" width="12.5703125" style="1" customWidth="1"/>
    <col min="14598" max="14598" width="1.5703125" style="1" customWidth="1"/>
    <col min="14599" max="14599" width="45.140625" style="1" customWidth="1"/>
    <col min="14600" max="14600" width="13.140625" style="1" customWidth="1"/>
    <col min="14601" max="14601" width="10.28515625" style="1" bestFit="1" customWidth="1"/>
    <col min="14602" max="14602" width="16.28515625" style="1" bestFit="1" customWidth="1"/>
    <col min="14603" max="14603" width="11.28515625" style="1" bestFit="1" customWidth="1"/>
    <col min="14604" max="14836" width="9.140625" style="1"/>
    <col min="14837" max="14837" width="5.140625" style="1" customWidth="1"/>
    <col min="14838" max="14838" width="33.5703125" style="1" customWidth="1"/>
    <col min="14839" max="14839" width="25.85546875" style="1" customWidth="1"/>
    <col min="14840" max="14840" width="0" style="1" hidden="1" customWidth="1"/>
    <col min="14841" max="14841" width="14.85546875" style="1" customWidth="1"/>
    <col min="14842" max="14842" width="13.85546875" style="1" customWidth="1"/>
    <col min="14843" max="14843" width="12.140625" style="1" customWidth="1"/>
    <col min="14844" max="14844" width="13.7109375" style="1" customWidth="1"/>
    <col min="14845" max="14845" width="8.5703125" style="1" customWidth="1"/>
    <col min="14846" max="14846" width="13" style="1" customWidth="1"/>
    <col min="14847" max="14847" width="9" style="1" customWidth="1"/>
    <col min="14848" max="14848" width="6.7109375" style="1" customWidth="1"/>
    <col min="14849" max="14849" width="9" style="1" customWidth="1"/>
    <col min="14850" max="14850" width="6.85546875" style="1" customWidth="1"/>
    <col min="14851" max="14851" width="10.5703125" style="1" customWidth="1"/>
    <col min="14852" max="14852" width="12.28515625" style="1" customWidth="1"/>
    <col min="14853" max="14853" width="12.5703125" style="1" customWidth="1"/>
    <col min="14854" max="14854" width="1.5703125" style="1" customWidth="1"/>
    <col min="14855" max="14855" width="45.140625" style="1" customWidth="1"/>
    <col min="14856" max="14856" width="13.140625" style="1" customWidth="1"/>
    <col min="14857" max="14857" width="10.28515625" style="1" bestFit="1" customWidth="1"/>
    <col min="14858" max="14858" width="16.28515625" style="1" bestFit="1" customWidth="1"/>
    <col min="14859" max="14859" width="11.28515625" style="1" bestFit="1" customWidth="1"/>
    <col min="14860" max="15092" width="9.140625" style="1"/>
    <col min="15093" max="15093" width="5.140625" style="1" customWidth="1"/>
    <col min="15094" max="15094" width="33.5703125" style="1" customWidth="1"/>
    <col min="15095" max="15095" width="25.85546875" style="1" customWidth="1"/>
    <col min="15096" max="15096" width="0" style="1" hidden="1" customWidth="1"/>
    <col min="15097" max="15097" width="14.85546875" style="1" customWidth="1"/>
    <col min="15098" max="15098" width="13.85546875" style="1" customWidth="1"/>
    <col min="15099" max="15099" width="12.140625" style="1" customWidth="1"/>
    <col min="15100" max="15100" width="13.7109375" style="1" customWidth="1"/>
    <col min="15101" max="15101" width="8.5703125" style="1" customWidth="1"/>
    <col min="15102" max="15102" width="13" style="1" customWidth="1"/>
    <col min="15103" max="15103" width="9" style="1" customWidth="1"/>
    <col min="15104" max="15104" width="6.7109375" style="1" customWidth="1"/>
    <col min="15105" max="15105" width="9" style="1" customWidth="1"/>
    <col min="15106" max="15106" width="6.85546875" style="1" customWidth="1"/>
    <col min="15107" max="15107" width="10.5703125" style="1" customWidth="1"/>
    <col min="15108" max="15108" width="12.28515625" style="1" customWidth="1"/>
    <col min="15109" max="15109" width="12.5703125" style="1" customWidth="1"/>
    <col min="15110" max="15110" width="1.5703125" style="1" customWidth="1"/>
    <col min="15111" max="15111" width="45.140625" style="1" customWidth="1"/>
    <col min="15112" max="15112" width="13.140625" style="1" customWidth="1"/>
    <col min="15113" max="15113" width="10.28515625" style="1" bestFit="1" customWidth="1"/>
    <col min="15114" max="15114" width="16.28515625" style="1" bestFit="1" customWidth="1"/>
    <col min="15115" max="15115" width="11.28515625" style="1" bestFit="1" customWidth="1"/>
    <col min="15116" max="15348" width="9.140625" style="1"/>
    <col min="15349" max="15349" width="5.140625" style="1" customWidth="1"/>
    <col min="15350" max="15350" width="33.5703125" style="1" customWidth="1"/>
    <col min="15351" max="15351" width="25.85546875" style="1" customWidth="1"/>
    <col min="15352" max="15352" width="0" style="1" hidden="1" customWidth="1"/>
    <col min="15353" max="15353" width="14.85546875" style="1" customWidth="1"/>
    <col min="15354" max="15354" width="13.85546875" style="1" customWidth="1"/>
    <col min="15355" max="15355" width="12.140625" style="1" customWidth="1"/>
    <col min="15356" max="15356" width="13.7109375" style="1" customWidth="1"/>
    <col min="15357" max="15357" width="8.5703125" style="1" customWidth="1"/>
    <col min="15358" max="15358" width="13" style="1" customWidth="1"/>
    <col min="15359" max="15359" width="9" style="1" customWidth="1"/>
    <col min="15360" max="15360" width="6.7109375" style="1" customWidth="1"/>
    <col min="15361" max="15361" width="9" style="1" customWidth="1"/>
    <col min="15362" max="15362" width="6.85546875" style="1" customWidth="1"/>
    <col min="15363" max="15363" width="10.5703125" style="1" customWidth="1"/>
    <col min="15364" max="15364" width="12.28515625" style="1" customWidth="1"/>
    <col min="15365" max="15365" width="12.5703125" style="1" customWidth="1"/>
    <col min="15366" max="15366" width="1.5703125" style="1" customWidth="1"/>
    <col min="15367" max="15367" width="45.140625" style="1" customWidth="1"/>
    <col min="15368" max="15368" width="13.140625" style="1" customWidth="1"/>
    <col min="15369" max="15369" width="10.28515625" style="1" bestFit="1" customWidth="1"/>
    <col min="15370" max="15370" width="16.28515625" style="1" bestFit="1" customWidth="1"/>
    <col min="15371" max="15371" width="11.28515625" style="1" bestFit="1" customWidth="1"/>
    <col min="15372" max="15604" width="9.140625" style="1"/>
    <col min="15605" max="15605" width="5.140625" style="1" customWidth="1"/>
    <col min="15606" max="15606" width="33.5703125" style="1" customWidth="1"/>
    <col min="15607" max="15607" width="25.85546875" style="1" customWidth="1"/>
    <col min="15608" max="15608" width="0" style="1" hidden="1" customWidth="1"/>
    <col min="15609" max="15609" width="14.85546875" style="1" customWidth="1"/>
    <col min="15610" max="15610" width="13.85546875" style="1" customWidth="1"/>
    <col min="15611" max="15611" width="12.140625" style="1" customWidth="1"/>
    <col min="15612" max="15612" width="13.7109375" style="1" customWidth="1"/>
    <col min="15613" max="15613" width="8.5703125" style="1" customWidth="1"/>
    <col min="15614" max="15614" width="13" style="1" customWidth="1"/>
    <col min="15615" max="15615" width="9" style="1" customWidth="1"/>
    <col min="15616" max="15616" width="6.7109375" style="1" customWidth="1"/>
    <col min="15617" max="15617" width="9" style="1" customWidth="1"/>
    <col min="15618" max="15618" width="6.85546875" style="1" customWidth="1"/>
    <col min="15619" max="15619" width="10.5703125" style="1" customWidth="1"/>
    <col min="15620" max="15620" width="12.28515625" style="1" customWidth="1"/>
    <col min="15621" max="15621" width="12.5703125" style="1" customWidth="1"/>
    <col min="15622" max="15622" width="1.5703125" style="1" customWidth="1"/>
    <col min="15623" max="15623" width="45.140625" style="1" customWidth="1"/>
    <col min="15624" max="15624" width="13.140625" style="1" customWidth="1"/>
    <col min="15625" max="15625" width="10.28515625" style="1" bestFit="1" customWidth="1"/>
    <col min="15626" max="15626" width="16.28515625" style="1" bestFit="1" customWidth="1"/>
    <col min="15627" max="15627" width="11.28515625" style="1" bestFit="1" customWidth="1"/>
    <col min="15628" max="15860" width="9.140625" style="1"/>
    <col min="15861" max="15861" width="5.140625" style="1" customWidth="1"/>
    <col min="15862" max="15862" width="33.5703125" style="1" customWidth="1"/>
    <col min="15863" max="15863" width="25.85546875" style="1" customWidth="1"/>
    <col min="15864" max="15864" width="0" style="1" hidden="1" customWidth="1"/>
    <col min="15865" max="15865" width="14.85546875" style="1" customWidth="1"/>
    <col min="15866" max="15866" width="13.85546875" style="1" customWidth="1"/>
    <col min="15867" max="15867" width="12.140625" style="1" customWidth="1"/>
    <col min="15868" max="15868" width="13.7109375" style="1" customWidth="1"/>
    <col min="15869" max="15869" width="8.5703125" style="1" customWidth="1"/>
    <col min="15870" max="15870" width="13" style="1" customWidth="1"/>
    <col min="15871" max="15871" width="9" style="1" customWidth="1"/>
    <col min="15872" max="15872" width="6.7109375" style="1" customWidth="1"/>
    <col min="15873" max="15873" width="9" style="1" customWidth="1"/>
    <col min="15874" max="15874" width="6.85546875" style="1" customWidth="1"/>
    <col min="15875" max="15875" width="10.5703125" style="1" customWidth="1"/>
    <col min="15876" max="15876" width="12.28515625" style="1" customWidth="1"/>
    <col min="15877" max="15877" width="12.5703125" style="1" customWidth="1"/>
    <col min="15878" max="15878" width="1.5703125" style="1" customWidth="1"/>
    <col min="15879" max="15879" width="45.140625" style="1" customWidth="1"/>
    <col min="15880" max="15880" width="13.140625" style="1" customWidth="1"/>
    <col min="15881" max="15881" width="10.28515625" style="1" bestFit="1" customWidth="1"/>
    <col min="15882" max="15882" width="16.28515625" style="1" bestFit="1" customWidth="1"/>
    <col min="15883" max="15883" width="11.28515625" style="1" bestFit="1" customWidth="1"/>
    <col min="15884" max="16116" width="9.140625" style="1"/>
    <col min="16117" max="16117" width="5.140625" style="1" customWidth="1"/>
    <col min="16118" max="16118" width="33.5703125" style="1" customWidth="1"/>
    <col min="16119" max="16119" width="25.85546875" style="1" customWidth="1"/>
    <col min="16120" max="16120" width="0" style="1" hidden="1" customWidth="1"/>
    <col min="16121" max="16121" width="14.85546875" style="1" customWidth="1"/>
    <col min="16122" max="16122" width="13.85546875" style="1" customWidth="1"/>
    <col min="16123" max="16123" width="12.140625" style="1" customWidth="1"/>
    <col min="16124" max="16124" width="13.7109375" style="1" customWidth="1"/>
    <col min="16125" max="16125" width="8.5703125" style="1" customWidth="1"/>
    <col min="16126" max="16126" width="13" style="1" customWidth="1"/>
    <col min="16127" max="16127" width="9" style="1" customWidth="1"/>
    <col min="16128" max="16128" width="6.7109375" style="1" customWidth="1"/>
    <col min="16129" max="16129" width="9" style="1" customWidth="1"/>
    <col min="16130" max="16130" width="6.85546875" style="1" customWidth="1"/>
    <col min="16131" max="16131" width="10.5703125" style="1" customWidth="1"/>
    <col min="16132" max="16132" width="12.28515625" style="1" customWidth="1"/>
    <col min="16133" max="16133" width="12.5703125" style="1" customWidth="1"/>
    <col min="16134" max="16134" width="1.5703125" style="1" customWidth="1"/>
    <col min="16135" max="16135" width="45.140625" style="1" customWidth="1"/>
    <col min="16136" max="16136" width="13.140625" style="1" customWidth="1"/>
    <col min="16137" max="16137" width="10.28515625" style="1" bestFit="1" customWidth="1"/>
    <col min="16138" max="16138" width="16.28515625" style="1" bestFit="1" customWidth="1"/>
    <col min="16139" max="16139" width="11.28515625" style="1" bestFit="1" customWidth="1"/>
    <col min="16140" max="16384" width="9.140625" style="1"/>
  </cols>
  <sheetData>
    <row r="1" spans="1:30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</row>
    <row r="2" spans="1:30" x14ac:dyDescent="0.25">
      <c r="A2" s="308" t="s">
        <v>100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0" s="12" customFormat="1" ht="63" x14ac:dyDescent="0.25">
      <c r="A3" s="214" t="s">
        <v>2</v>
      </c>
      <c r="B3" s="215" t="s">
        <v>3</v>
      </c>
      <c r="C3" s="216" t="s">
        <v>4</v>
      </c>
      <c r="D3" s="217" t="s">
        <v>5</v>
      </c>
      <c r="E3" s="218"/>
      <c r="F3" s="218"/>
      <c r="G3" s="218"/>
      <c r="H3" s="218"/>
      <c r="I3" s="218"/>
      <c r="J3" s="219" t="s">
        <v>6</v>
      </c>
      <c r="K3" s="219" t="s">
        <v>7</v>
      </c>
      <c r="L3" s="220"/>
      <c r="M3" s="220"/>
      <c r="N3" s="309" t="s">
        <v>8</v>
      </c>
      <c r="O3" s="309"/>
      <c r="P3" s="309"/>
      <c r="Q3" s="217" t="s">
        <v>9</v>
      </c>
      <c r="R3" s="217" t="s">
        <v>10</v>
      </c>
      <c r="S3" s="217"/>
      <c r="T3" s="217" t="s">
        <v>11</v>
      </c>
      <c r="U3" s="217" t="s">
        <v>12</v>
      </c>
      <c r="V3" s="221" t="s">
        <v>13</v>
      </c>
      <c r="W3" s="222" t="s">
        <v>14</v>
      </c>
      <c r="X3" s="222" t="s">
        <v>15</v>
      </c>
      <c r="Y3" s="217" t="s">
        <v>1140</v>
      </c>
      <c r="Z3" s="309" t="s">
        <v>17</v>
      </c>
      <c r="AA3" s="309"/>
      <c r="AB3" s="217" t="s">
        <v>18</v>
      </c>
      <c r="AC3" s="216" t="s">
        <v>19</v>
      </c>
      <c r="AD3" s="216" t="s">
        <v>13</v>
      </c>
    </row>
    <row r="4" spans="1:30" x14ac:dyDescent="0.25">
      <c r="A4" s="13" t="s">
        <v>20</v>
      </c>
      <c r="B4" s="92" t="s">
        <v>268</v>
      </c>
      <c r="C4" s="91" t="s">
        <v>27</v>
      </c>
      <c r="D4" s="14" t="s">
        <v>28</v>
      </c>
      <c r="E4" s="16">
        <v>7843.4999999999982</v>
      </c>
      <c r="F4" s="17">
        <v>3734.9999999999991</v>
      </c>
      <c r="G4" s="17">
        <v>622.5</v>
      </c>
      <c r="H4" s="25">
        <v>622.5</v>
      </c>
      <c r="I4" s="18"/>
      <c r="J4" s="19">
        <f>SUM(E4:I4)</f>
        <v>12823.499999999996</v>
      </c>
      <c r="K4" s="19" t="s">
        <v>22</v>
      </c>
      <c r="L4" s="20">
        <v>0</v>
      </c>
      <c r="M4" s="20"/>
      <c r="N4" s="20"/>
      <c r="O4" s="20"/>
      <c r="P4" s="17">
        <f>J4/30*N4</f>
        <v>0</v>
      </c>
      <c r="Q4" s="21">
        <f>J4+L4+M4-P4</f>
        <v>12823.499999999996</v>
      </c>
      <c r="R4" s="22">
        <v>31</v>
      </c>
      <c r="S4" s="22"/>
      <c r="T4" s="91" t="s">
        <v>263</v>
      </c>
      <c r="U4" s="45" t="s">
        <v>1091</v>
      </c>
      <c r="V4" s="23"/>
      <c r="W4" s="121">
        <v>6930</v>
      </c>
      <c r="X4" s="30">
        <f>W4*3</f>
        <v>20790</v>
      </c>
      <c r="Y4" s="30">
        <v>12823.499999999996</v>
      </c>
      <c r="Z4" s="22">
        <v>9.5</v>
      </c>
      <c r="AA4" s="30">
        <f>W4/30*Z4</f>
        <v>2194.5</v>
      </c>
      <c r="AB4" s="21"/>
      <c r="AC4" s="31">
        <f>AA4+X4+AB4</f>
        <v>22984.5</v>
      </c>
      <c r="AD4" s="22"/>
    </row>
    <row r="5" spans="1:30" ht="30" x14ac:dyDescent="0.25">
      <c r="A5" s="13" t="s">
        <v>26</v>
      </c>
      <c r="B5" s="92" t="s">
        <v>767</v>
      </c>
      <c r="C5" s="91" t="s">
        <v>1141</v>
      </c>
      <c r="D5" s="14"/>
      <c r="E5" s="16"/>
      <c r="F5" s="17"/>
      <c r="G5" s="17"/>
      <c r="H5" s="25"/>
      <c r="I5" s="18"/>
      <c r="J5" s="19">
        <v>11330</v>
      </c>
      <c r="K5" s="19"/>
      <c r="L5" s="20"/>
      <c r="M5" s="20"/>
      <c r="N5" s="20"/>
      <c r="O5" s="20"/>
      <c r="P5" s="17"/>
      <c r="Q5" s="21"/>
      <c r="R5" s="22"/>
      <c r="S5" s="22"/>
      <c r="T5" s="86" t="s">
        <v>771</v>
      </c>
      <c r="U5" s="45" t="s">
        <v>1097</v>
      </c>
      <c r="V5" s="23"/>
      <c r="W5" s="121">
        <v>13200</v>
      </c>
      <c r="X5" s="30">
        <v>0</v>
      </c>
      <c r="Y5" s="30">
        <v>11330</v>
      </c>
      <c r="Z5" s="22">
        <v>17.5</v>
      </c>
      <c r="AA5" s="30">
        <f>W5/30*Z5</f>
        <v>7700</v>
      </c>
      <c r="AB5" s="21"/>
      <c r="AC5" s="31">
        <f>AA5+X5+AB5</f>
        <v>7700</v>
      </c>
      <c r="AD5" s="22"/>
    </row>
    <row r="6" spans="1:30" x14ac:dyDescent="0.25">
      <c r="A6" s="13" t="s">
        <v>29</v>
      </c>
      <c r="B6" s="92" t="s">
        <v>186</v>
      </c>
      <c r="C6" s="86" t="s">
        <v>64</v>
      </c>
      <c r="D6" s="15"/>
      <c r="E6" s="16"/>
      <c r="F6" s="17"/>
      <c r="G6" s="17"/>
      <c r="H6" s="25"/>
      <c r="I6" s="18"/>
      <c r="J6" s="41"/>
      <c r="K6" s="19"/>
      <c r="L6" s="20"/>
      <c r="M6" s="20"/>
      <c r="N6" s="20"/>
      <c r="O6" s="20"/>
      <c r="P6" s="17">
        <f>J6/30*N6</f>
        <v>0</v>
      </c>
      <c r="Q6" s="21">
        <f>J6+L6+M6-P6</f>
        <v>0</v>
      </c>
      <c r="R6" s="22"/>
      <c r="S6" s="22"/>
      <c r="T6" s="86" t="s">
        <v>190</v>
      </c>
      <c r="U6" s="45" t="s">
        <v>1086</v>
      </c>
      <c r="V6" s="23"/>
      <c r="W6" s="158">
        <v>14982.319799999997</v>
      </c>
      <c r="X6" s="30">
        <f>W6*10</f>
        <v>149823.19799999997</v>
      </c>
      <c r="Y6" s="68">
        <v>18461.947887499995</v>
      </c>
      <c r="Z6" s="247">
        <v>60</v>
      </c>
      <c r="AA6" s="30">
        <f>W6/30*Z6</f>
        <v>29964.639599999995</v>
      </c>
      <c r="AB6" s="22">
        <v>7500</v>
      </c>
      <c r="AC6" s="31">
        <f>AA6+X6+AB6</f>
        <v>187287.83759999997</v>
      </c>
      <c r="AD6" s="22"/>
    </row>
    <row r="7" spans="1:30" x14ac:dyDescent="0.25">
      <c r="A7" s="13" t="s">
        <v>31</v>
      </c>
      <c r="B7" s="92" t="s">
        <v>502</v>
      </c>
      <c r="C7" s="91" t="s">
        <v>490</v>
      </c>
      <c r="D7" s="14"/>
      <c r="E7" s="16"/>
      <c r="F7" s="17"/>
      <c r="G7" s="17"/>
      <c r="H7" s="25"/>
      <c r="I7" s="18"/>
      <c r="J7" s="41"/>
      <c r="K7" s="19"/>
      <c r="L7" s="20"/>
      <c r="M7" s="20"/>
      <c r="N7" s="20"/>
      <c r="O7" s="20"/>
      <c r="P7" s="17"/>
      <c r="Q7" s="21"/>
      <c r="R7" s="22"/>
      <c r="S7" s="22"/>
      <c r="T7" s="86" t="s">
        <v>505</v>
      </c>
      <c r="U7" s="45" t="s">
        <v>1108</v>
      </c>
      <c r="V7" s="23"/>
      <c r="W7" s="126">
        <v>9000</v>
      </c>
      <c r="X7" s="30">
        <v>0</v>
      </c>
      <c r="Y7" s="22"/>
      <c r="Z7" s="247">
        <v>7</v>
      </c>
      <c r="AA7" s="30">
        <f t="shared" ref="AA7:AA9" si="0">W7/30*Z7</f>
        <v>2100</v>
      </c>
      <c r="AB7" s="30"/>
      <c r="AC7" s="31">
        <f t="shared" ref="AC7:AC9" si="1">AA7+X7+AB7</f>
        <v>2100</v>
      </c>
      <c r="AD7" s="22"/>
    </row>
    <row r="8" spans="1:30" x14ac:dyDescent="0.25">
      <c r="A8" s="13" t="s">
        <v>33</v>
      </c>
      <c r="B8" s="242" t="s">
        <v>1142</v>
      </c>
      <c r="C8" s="86" t="s">
        <v>27</v>
      </c>
      <c r="D8" s="14"/>
      <c r="E8" s="16"/>
      <c r="F8" s="17"/>
      <c r="G8" s="17"/>
      <c r="H8" s="25"/>
      <c r="I8" s="18"/>
      <c r="J8" s="19"/>
      <c r="K8" s="19"/>
      <c r="L8" s="20"/>
      <c r="M8" s="20"/>
      <c r="N8" s="20"/>
      <c r="O8" s="20"/>
      <c r="P8" s="17"/>
      <c r="Q8" s="21"/>
      <c r="R8" s="22"/>
      <c r="S8" s="22"/>
      <c r="T8" s="91" t="s">
        <v>1144</v>
      </c>
      <c r="U8" s="45" t="s">
        <v>1143</v>
      </c>
      <c r="V8" s="23"/>
      <c r="W8" s="126">
        <v>6930</v>
      </c>
      <c r="X8" s="30">
        <f>W8*4</f>
        <v>27720</v>
      </c>
      <c r="Y8" s="22"/>
      <c r="Z8" s="247">
        <v>22.5</v>
      </c>
      <c r="AA8" s="30">
        <f t="shared" si="0"/>
        <v>5197.5</v>
      </c>
      <c r="AB8" s="30"/>
      <c r="AC8" s="31">
        <f t="shared" si="1"/>
        <v>32917.5</v>
      </c>
      <c r="AD8" s="22"/>
    </row>
    <row r="9" spans="1:30" x14ac:dyDescent="0.25">
      <c r="A9" s="13" t="s">
        <v>35</v>
      </c>
      <c r="B9" s="92" t="s">
        <v>299</v>
      </c>
      <c r="C9" s="86" t="s">
        <v>27</v>
      </c>
      <c r="D9" s="14"/>
      <c r="E9" s="16"/>
      <c r="F9" s="17"/>
      <c r="G9" s="17"/>
      <c r="H9" s="25"/>
      <c r="I9" s="18"/>
      <c r="J9" s="19"/>
      <c r="K9" s="19"/>
      <c r="L9" s="20"/>
      <c r="M9" s="20"/>
      <c r="N9" s="20"/>
      <c r="O9" s="20"/>
      <c r="P9" s="17"/>
      <c r="Q9" s="21"/>
      <c r="R9" s="22"/>
      <c r="S9" s="22"/>
      <c r="T9" s="86" t="s">
        <v>289</v>
      </c>
      <c r="U9" s="45" t="s">
        <v>55</v>
      </c>
      <c r="V9" s="23"/>
      <c r="W9" s="121">
        <v>6930</v>
      </c>
      <c r="X9" s="30">
        <f>W9*3</f>
        <v>20790</v>
      </c>
      <c r="Y9" s="30"/>
      <c r="Z9" s="247">
        <v>8.5</v>
      </c>
      <c r="AA9" s="30">
        <f t="shared" si="0"/>
        <v>1963.5</v>
      </c>
      <c r="AB9" s="21"/>
      <c r="AC9" s="31">
        <f t="shared" si="1"/>
        <v>22753.5</v>
      </c>
      <c r="AD9" s="22"/>
    </row>
    <row r="10" spans="1:30" s="12" customFormat="1" x14ac:dyDescent="0.25">
      <c r="A10" s="223"/>
      <c r="B10" s="224" t="s">
        <v>48</v>
      </c>
      <c r="C10" s="225"/>
      <c r="D10" s="225"/>
      <c r="E10" s="225"/>
      <c r="F10" s="226"/>
      <c r="G10" s="226"/>
      <c r="H10" s="226"/>
      <c r="I10" s="225"/>
      <c r="J10" s="227">
        <f>SUM(J4:J7)</f>
        <v>24153.499999999996</v>
      </c>
      <c r="K10" s="228"/>
      <c r="L10" s="226"/>
      <c r="M10" s="229"/>
      <c r="N10" s="226"/>
      <c r="O10" s="226"/>
      <c r="P10" s="229"/>
      <c r="Q10" s="225"/>
      <c r="R10" s="225"/>
      <c r="S10" s="225"/>
      <c r="T10" s="225"/>
      <c r="U10" s="216"/>
      <c r="V10" s="224"/>
      <c r="W10" s="226">
        <f>SUM(W4:W8)</f>
        <v>51042.319799999997</v>
      </c>
      <c r="X10" s="226">
        <f>SUM(X4:X7)</f>
        <v>170613.19799999997</v>
      </c>
      <c r="Y10" s="226">
        <f>SUM(Y4:Y6)</f>
        <v>42615.447887499991</v>
      </c>
      <c r="Z10" s="225"/>
      <c r="AA10" s="226">
        <f>SUM(AA4:AA7)</f>
        <v>41959.139599999995</v>
      </c>
      <c r="AB10" s="226">
        <f>SUM(AB4:AB7)</f>
        <v>7500</v>
      </c>
      <c r="AC10" s="226">
        <f>SUM(AC4:AC7)</f>
        <v>220072.33759999997</v>
      </c>
      <c r="AD10" s="225"/>
    </row>
  </sheetData>
  <mergeCells count="4">
    <mergeCell ref="A1:AC1"/>
    <mergeCell ref="A2:AC2"/>
    <mergeCell ref="N3:P3"/>
    <mergeCell ref="Z3:AA3"/>
  </mergeCells>
  <pageMargins left="0.7" right="0.7" top="0.75" bottom="0.75" header="0.3" footer="0.3"/>
  <pageSetup scale="7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"/>
  <sheetViews>
    <sheetView workbookViewId="0">
      <selection sqref="A1:XFD1048576"/>
    </sheetView>
  </sheetViews>
  <sheetFormatPr defaultRowHeight="15.75" x14ac:dyDescent="0.25"/>
  <cols>
    <col min="1" max="1" width="6.5703125" style="78" customWidth="1"/>
    <col min="2" max="2" width="24.85546875" style="1" customWidth="1"/>
    <col min="3" max="3" width="19" style="1" customWidth="1"/>
    <col min="4" max="4" width="13" style="1" hidden="1" customWidth="1"/>
    <col min="5" max="5" width="13.5703125" style="1" hidden="1" customWidth="1"/>
    <col min="6" max="6" width="11" style="1" hidden="1" customWidth="1"/>
    <col min="7" max="7" width="10.5703125" style="1" hidden="1" customWidth="1"/>
    <col min="8" max="8" width="10" style="1" hidden="1" customWidth="1"/>
    <col min="9" max="9" width="8.5703125" style="1" hidden="1" customWidth="1"/>
    <col min="10" max="10" width="10.7109375" style="79" hidden="1" customWidth="1"/>
    <col min="11" max="11" width="9.42578125" style="80" hidden="1" customWidth="1"/>
    <col min="12" max="12" width="14.5703125" style="81" hidden="1" customWidth="1"/>
    <col min="13" max="13" width="6.7109375" style="82" hidden="1" customWidth="1"/>
    <col min="14" max="14" width="9" style="81" hidden="1" customWidth="1"/>
    <col min="15" max="15" width="6.85546875" style="81" hidden="1" customWidth="1"/>
    <col min="16" max="16" width="10.5703125" style="82" hidden="1" customWidth="1"/>
    <col min="17" max="17" width="12.28515625" style="1" hidden="1" customWidth="1"/>
    <col min="18" max="18" width="12.5703125" style="1" hidden="1" customWidth="1"/>
    <col min="19" max="19" width="0.28515625" style="1" customWidth="1"/>
    <col min="20" max="20" width="12.85546875" style="1" customWidth="1"/>
    <col min="21" max="21" width="10.5703125" style="213" customWidth="1"/>
    <col min="22" max="22" width="10" style="1" hidden="1" customWidth="1"/>
    <col min="23" max="23" width="11.42578125" style="1" customWidth="1"/>
    <col min="24" max="24" width="14.5703125" style="1" customWidth="1"/>
    <col min="25" max="25" width="12.7109375" style="1" hidden="1" customWidth="1"/>
    <col min="26" max="26" width="9" style="1" customWidth="1"/>
    <col min="27" max="28" width="14.5703125" style="1" customWidth="1"/>
    <col min="29" max="29" width="15.140625" style="1" customWidth="1"/>
    <col min="30" max="30" width="9.140625" style="1" customWidth="1"/>
    <col min="31" max="244" width="9.140625" style="1"/>
    <col min="245" max="245" width="5.140625" style="1" customWidth="1"/>
    <col min="246" max="246" width="33.5703125" style="1" customWidth="1"/>
    <col min="247" max="247" width="25.85546875" style="1" customWidth="1"/>
    <col min="248" max="248" width="0" style="1" hidden="1" customWidth="1"/>
    <col min="249" max="249" width="14.85546875" style="1" customWidth="1"/>
    <col min="250" max="250" width="13.85546875" style="1" customWidth="1"/>
    <col min="251" max="251" width="12.140625" style="1" customWidth="1"/>
    <col min="252" max="252" width="13.7109375" style="1" customWidth="1"/>
    <col min="253" max="253" width="8.5703125" style="1" customWidth="1"/>
    <col min="254" max="254" width="13" style="1" customWidth="1"/>
    <col min="255" max="255" width="9" style="1" customWidth="1"/>
    <col min="256" max="256" width="6.7109375" style="1" customWidth="1"/>
    <col min="257" max="257" width="9" style="1" customWidth="1"/>
    <col min="258" max="258" width="6.85546875" style="1" customWidth="1"/>
    <col min="259" max="259" width="10.5703125" style="1" customWidth="1"/>
    <col min="260" max="260" width="12.28515625" style="1" customWidth="1"/>
    <col min="261" max="261" width="12.5703125" style="1" customWidth="1"/>
    <col min="262" max="262" width="1.5703125" style="1" customWidth="1"/>
    <col min="263" max="263" width="45.140625" style="1" customWidth="1"/>
    <col min="264" max="264" width="13.140625" style="1" customWidth="1"/>
    <col min="265" max="265" width="10.28515625" style="1" bestFit="1" customWidth="1"/>
    <col min="266" max="266" width="16.28515625" style="1" bestFit="1" customWidth="1"/>
    <col min="267" max="267" width="11.28515625" style="1" bestFit="1" customWidth="1"/>
    <col min="268" max="500" width="9.140625" style="1"/>
    <col min="501" max="501" width="5.140625" style="1" customWidth="1"/>
    <col min="502" max="502" width="33.5703125" style="1" customWidth="1"/>
    <col min="503" max="503" width="25.85546875" style="1" customWidth="1"/>
    <col min="504" max="504" width="0" style="1" hidden="1" customWidth="1"/>
    <col min="505" max="505" width="14.85546875" style="1" customWidth="1"/>
    <col min="506" max="506" width="13.85546875" style="1" customWidth="1"/>
    <col min="507" max="507" width="12.140625" style="1" customWidth="1"/>
    <col min="508" max="508" width="13.7109375" style="1" customWidth="1"/>
    <col min="509" max="509" width="8.5703125" style="1" customWidth="1"/>
    <col min="510" max="510" width="13" style="1" customWidth="1"/>
    <col min="511" max="511" width="9" style="1" customWidth="1"/>
    <col min="512" max="512" width="6.7109375" style="1" customWidth="1"/>
    <col min="513" max="513" width="9" style="1" customWidth="1"/>
    <col min="514" max="514" width="6.85546875" style="1" customWidth="1"/>
    <col min="515" max="515" width="10.5703125" style="1" customWidth="1"/>
    <col min="516" max="516" width="12.28515625" style="1" customWidth="1"/>
    <col min="517" max="517" width="12.5703125" style="1" customWidth="1"/>
    <col min="518" max="518" width="1.5703125" style="1" customWidth="1"/>
    <col min="519" max="519" width="45.140625" style="1" customWidth="1"/>
    <col min="520" max="520" width="13.140625" style="1" customWidth="1"/>
    <col min="521" max="521" width="10.28515625" style="1" bestFit="1" customWidth="1"/>
    <col min="522" max="522" width="16.28515625" style="1" bestFit="1" customWidth="1"/>
    <col min="523" max="523" width="11.28515625" style="1" bestFit="1" customWidth="1"/>
    <col min="524" max="756" width="9.140625" style="1"/>
    <col min="757" max="757" width="5.140625" style="1" customWidth="1"/>
    <col min="758" max="758" width="33.5703125" style="1" customWidth="1"/>
    <col min="759" max="759" width="25.85546875" style="1" customWidth="1"/>
    <col min="760" max="760" width="0" style="1" hidden="1" customWidth="1"/>
    <col min="761" max="761" width="14.85546875" style="1" customWidth="1"/>
    <col min="762" max="762" width="13.85546875" style="1" customWidth="1"/>
    <col min="763" max="763" width="12.140625" style="1" customWidth="1"/>
    <col min="764" max="764" width="13.7109375" style="1" customWidth="1"/>
    <col min="765" max="765" width="8.5703125" style="1" customWidth="1"/>
    <col min="766" max="766" width="13" style="1" customWidth="1"/>
    <col min="767" max="767" width="9" style="1" customWidth="1"/>
    <col min="768" max="768" width="6.7109375" style="1" customWidth="1"/>
    <col min="769" max="769" width="9" style="1" customWidth="1"/>
    <col min="770" max="770" width="6.85546875" style="1" customWidth="1"/>
    <col min="771" max="771" width="10.5703125" style="1" customWidth="1"/>
    <col min="772" max="772" width="12.28515625" style="1" customWidth="1"/>
    <col min="773" max="773" width="12.5703125" style="1" customWidth="1"/>
    <col min="774" max="774" width="1.5703125" style="1" customWidth="1"/>
    <col min="775" max="775" width="45.140625" style="1" customWidth="1"/>
    <col min="776" max="776" width="13.140625" style="1" customWidth="1"/>
    <col min="777" max="777" width="10.28515625" style="1" bestFit="1" customWidth="1"/>
    <col min="778" max="778" width="16.28515625" style="1" bestFit="1" customWidth="1"/>
    <col min="779" max="779" width="11.28515625" style="1" bestFit="1" customWidth="1"/>
    <col min="780" max="1012" width="9.140625" style="1"/>
    <col min="1013" max="1013" width="5.140625" style="1" customWidth="1"/>
    <col min="1014" max="1014" width="33.5703125" style="1" customWidth="1"/>
    <col min="1015" max="1015" width="25.85546875" style="1" customWidth="1"/>
    <col min="1016" max="1016" width="0" style="1" hidden="1" customWidth="1"/>
    <col min="1017" max="1017" width="14.85546875" style="1" customWidth="1"/>
    <col min="1018" max="1018" width="13.85546875" style="1" customWidth="1"/>
    <col min="1019" max="1019" width="12.140625" style="1" customWidth="1"/>
    <col min="1020" max="1020" width="13.7109375" style="1" customWidth="1"/>
    <col min="1021" max="1021" width="8.5703125" style="1" customWidth="1"/>
    <col min="1022" max="1022" width="13" style="1" customWidth="1"/>
    <col min="1023" max="1023" width="9" style="1" customWidth="1"/>
    <col min="1024" max="1024" width="6.7109375" style="1" customWidth="1"/>
    <col min="1025" max="1025" width="9" style="1" customWidth="1"/>
    <col min="1026" max="1026" width="6.85546875" style="1" customWidth="1"/>
    <col min="1027" max="1027" width="10.5703125" style="1" customWidth="1"/>
    <col min="1028" max="1028" width="12.28515625" style="1" customWidth="1"/>
    <col min="1029" max="1029" width="12.5703125" style="1" customWidth="1"/>
    <col min="1030" max="1030" width="1.5703125" style="1" customWidth="1"/>
    <col min="1031" max="1031" width="45.140625" style="1" customWidth="1"/>
    <col min="1032" max="1032" width="13.140625" style="1" customWidth="1"/>
    <col min="1033" max="1033" width="10.28515625" style="1" bestFit="1" customWidth="1"/>
    <col min="1034" max="1034" width="16.28515625" style="1" bestFit="1" customWidth="1"/>
    <col min="1035" max="1035" width="11.28515625" style="1" bestFit="1" customWidth="1"/>
    <col min="1036" max="1268" width="9.140625" style="1"/>
    <col min="1269" max="1269" width="5.140625" style="1" customWidth="1"/>
    <col min="1270" max="1270" width="33.5703125" style="1" customWidth="1"/>
    <col min="1271" max="1271" width="25.85546875" style="1" customWidth="1"/>
    <col min="1272" max="1272" width="0" style="1" hidden="1" customWidth="1"/>
    <col min="1273" max="1273" width="14.85546875" style="1" customWidth="1"/>
    <col min="1274" max="1274" width="13.85546875" style="1" customWidth="1"/>
    <col min="1275" max="1275" width="12.140625" style="1" customWidth="1"/>
    <col min="1276" max="1276" width="13.7109375" style="1" customWidth="1"/>
    <col min="1277" max="1277" width="8.5703125" style="1" customWidth="1"/>
    <col min="1278" max="1278" width="13" style="1" customWidth="1"/>
    <col min="1279" max="1279" width="9" style="1" customWidth="1"/>
    <col min="1280" max="1280" width="6.7109375" style="1" customWidth="1"/>
    <col min="1281" max="1281" width="9" style="1" customWidth="1"/>
    <col min="1282" max="1282" width="6.85546875" style="1" customWidth="1"/>
    <col min="1283" max="1283" width="10.5703125" style="1" customWidth="1"/>
    <col min="1284" max="1284" width="12.28515625" style="1" customWidth="1"/>
    <col min="1285" max="1285" width="12.5703125" style="1" customWidth="1"/>
    <col min="1286" max="1286" width="1.5703125" style="1" customWidth="1"/>
    <col min="1287" max="1287" width="45.140625" style="1" customWidth="1"/>
    <col min="1288" max="1288" width="13.140625" style="1" customWidth="1"/>
    <col min="1289" max="1289" width="10.28515625" style="1" bestFit="1" customWidth="1"/>
    <col min="1290" max="1290" width="16.28515625" style="1" bestFit="1" customWidth="1"/>
    <col min="1291" max="1291" width="11.28515625" style="1" bestFit="1" customWidth="1"/>
    <col min="1292" max="1524" width="9.140625" style="1"/>
    <col min="1525" max="1525" width="5.140625" style="1" customWidth="1"/>
    <col min="1526" max="1526" width="33.5703125" style="1" customWidth="1"/>
    <col min="1527" max="1527" width="25.85546875" style="1" customWidth="1"/>
    <col min="1528" max="1528" width="0" style="1" hidden="1" customWidth="1"/>
    <col min="1529" max="1529" width="14.85546875" style="1" customWidth="1"/>
    <col min="1530" max="1530" width="13.85546875" style="1" customWidth="1"/>
    <col min="1531" max="1531" width="12.140625" style="1" customWidth="1"/>
    <col min="1532" max="1532" width="13.7109375" style="1" customWidth="1"/>
    <col min="1533" max="1533" width="8.5703125" style="1" customWidth="1"/>
    <col min="1534" max="1534" width="13" style="1" customWidth="1"/>
    <col min="1535" max="1535" width="9" style="1" customWidth="1"/>
    <col min="1536" max="1536" width="6.7109375" style="1" customWidth="1"/>
    <col min="1537" max="1537" width="9" style="1" customWidth="1"/>
    <col min="1538" max="1538" width="6.85546875" style="1" customWidth="1"/>
    <col min="1539" max="1539" width="10.5703125" style="1" customWidth="1"/>
    <col min="1540" max="1540" width="12.28515625" style="1" customWidth="1"/>
    <col min="1541" max="1541" width="12.5703125" style="1" customWidth="1"/>
    <col min="1542" max="1542" width="1.5703125" style="1" customWidth="1"/>
    <col min="1543" max="1543" width="45.140625" style="1" customWidth="1"/>
    <col min="1544" max="1544" width="13.140625" style="1" customWidth="1"/>
    <col min="1545" max="1545" width="10.28515625" style="1" bestFit="1" customWidth="1"/>
    <col min="1546" max="1546" width="16.28515625" style="1" bestFit="1" customWidth="1"/>
    <col min="1547" max="1547" width="11.28515625" style="1" bestFit="1" customWidth="1"/>
    <col min="1548" max="1780" width="9.140625" style="1"/>
    <col min="1781" max="1781" width="5.140625" style="1" customWidth="1"/>
    <col min="1782" max="1782" width="33.5703125" style="1" customWidth="1"/>
    <col min="1783" max="1783" width="25.85546875" style="1" customWidth="1"/>
    <col min="1784" max="1784" width="0" style="1" hidden="1" customWidth="1"/>
    <col min="1785" max="1785" width="14.85546875" style="1" customWidth="1"/>
    <col min="1786" max="1786" width="13.85546875" style="1" customWidth="1"/>
    <col min="1787" max="1787" width="12.140625" style="1" customWidth="1"/>
    <col min="1788" max="1788" width="13.7109375" style="1" customWidth="1"/>
    <col min="1789" max="1789" width="8.5703125" style="1" customWidth="1"/>
    <col min="1790" max="1790" width="13" style="1" customWidth="1"/>
    <col min="1791" max="1791" width="9" style="1" customWidth="1"/>
    <col min="1792" max="1792" width="6.7109375" style="1" customWidth="1"/>
    <col min="1793" max="1793" width="9" style="1" customWidth="1"/>
    <col min="1794" max="1794" width="6.85546875" style="1" customWidth="1"/>
    <col min="1795" max="1795" width="10.5703125" style="1" customWidth="1"/>
    <col min="1796" max="1796" width="12.28515625" style="1" customWidth="1"/>
    <col min="1797" max="1797" width="12.5703125" style="1" customWidth="1"/>
    <col min="1798" max="1798" width="1.5703125" style="1" customWidth="1"/>
    <col min="1799" max="1799" width="45.140625" style="1" customWidth="1"/>
    <col min="1800" max="1800" width="13.140625" style="1" customWidth="1"/>
    <col min="1801" max="1801" width="10.28515625" style="1" bestFit="1" customWidth="1"/>
    <col min="1802" max="1802" width="16.28515625" style="1" bestFit="1" customWidth="1"/>
    <col min="1803" max="1803" width="11.28515625" style="1" bestFit="1" customWidth="1"/>
    <col min="1804" max="2036" width="9.140625" style="1"/>
    <col min="2037" max="2037" width="5.140625" style="1" customWidth="1"/>
    <col min="2038" max="2038" width="33.5703125" style="1" customWidth="1"/>
    <col min="2039" max="2039" width="25.85546875" style="1" customWidth="1"/>
    <col min="2040" max="2040" width="0" style="1" hidden="1" customWidth="1"/>
    <col min="2041" max="2041" width="14.85546875" style="1" customWidth="1"/>
    <col min="2042" max="2042" width="13.85546875" style="1" customWidth="1"/>
    <col min="2043" max="2043" width="12.140625" style="1" customWidth="1"/>
    <col min="2044" max="2044" width="13.7109375" style="1" customWidth="1"/>
    <col min="2045" max="2045" width="8.5703125" style="1" customWidth="1"/>
    <col min="2046" max="2046" width="13" style="1" customWidth="1"/>
    <col min="2047" max="2047" width="9" style="1" customWidth="1"/>
    <col min="2048" max="2048" width="6.7109375" style="1" customWidth="1"/>
    <col min="2049" max="2049" width="9" style="1" customWidth="1"/>
    <col min="2050" max="2050" width="6.85546875" style="1" customWidth="1"/>
    <col min="2051" max="2051" width="10.5703125" style="1" customWidth="1"/>
    <col min="2052" max="2052" width="12.28515625" style="1" customWidth="1"/>
    <col min="2053" max="2053" width="12.5703125" style="1" customWidth="1"/>
    <col min="2054" max="2054" width="1.5703125" style="1" customWidth="1"/>
    <col min="2055" max="2055" width="45.140625" style="1" customWidth="1"/>
    <col min="2056" max="2056" width="13.140625" style="1" customWidth="1"/>
    <col min="2057" max="2057" width="10.28515625" style="1" bestFit="1" customWidth="1"/>
    <col min="2058" max="2058" width="16.28515625" style="1" bestFit="1" customWidth="1"/>
    <col min="2059" max="2059" width="11.28515625" style="1" bestFit="1" customWidth="1"/>
    <col min="2060" max="2292" width="9.140625" style="1"/>
    <col min="2293" max="2293" width="5.140625" style="1" customWidth="1"/>
    <col min="2294" max="2294" width="33.5703125" style="1" customWidth="1"/>
    <col min="2295" max="2295" width="25.85546875" style="1" customWidth="1"/>
    <col min="2296" max="2296" width="0" style="1" hidden="1" customWidth="1"/>
    <col min="2297" max="2297" width="14.85546875" style="1" customWidth="1"/>
    <col min="2298" max="2298" width="13.85546875" style="1" customWidth="1"/>
    <col min="2299" max="2299" width="12.140625" style="1" customWidth="1"/>
    <col min="2300" max="2300" width="13.7109375" style="1" customWidth="1"/>
    <col min="2301" max="2301" width="8.5703125" style="1" customWidth="1"/>
    <col min="2302" max="2302" width="13" style="1" customWidth="1"/>
    <col min="2303" max="2303" width="9" style="1" customWidth="1"/>
    <col min="2304" max="2304" width="6.7109375" style="1" customWidth="1"/>
    <col min="2305" max="2305" width="9" style="1" customWidth="1"/>
    <col min="2306" max="2306" width="6.85546875" style="1" customWidth="1"/>
    <col min="2307" max="2307" width="10.5703125" style="1" customWidth="1"/>
    <col min="2308" max="2308" width="12.28515625" style="1" customWidth="1"/>
    <col min="2309" max="2309" width="12.5703125" style="1" customWidth="1"/>
    <col min="2310" max="2310" width="1.5703125" style="1" customWidth="1"/>
    <col min="2311" max="2311" width="45.140625" style="1" customWidth="1"/>
    <col min="2312" max="2312" width="13.140625" style="1" customWidth="1"/>
    <col min="2313" max="2313" width="10.28515625" style="1" bestFit="1" customWidth="1"/>
    <col min="2314" max="2314" width="16.28515625" style="1" bestFit="1" customWidth="1"/>
    <col min="2315" max="2315" width="11.28515625" style="1" bestFit="1" customWidth="1"/>
    <col min="2316" max="2548" width="9.140625" style="1"/>
    <col min="2549" max="2549" width="5.140625" style="1" customWidth="1"/>
    <col min="2550" max="2550" width="33.5703125" style="1" customWidth="1"/>
    <col min="2551" max="2551" width="25.85546875" style="1" customWidth="1"/>
    <col min="2552" max="2552" width="0" style="1" hidden="1" customWidth="1"/>
    <col min="2553" max="2553" width="14.85546875" style="1" customWidth="1"/>
    <col min="2554" max="2554" width="13.85546875" style="1" customWidth="1"/>
    <col min="2555" max="2555" width="12.140625" style="1" customWidth="1"/>
    <col min="2556" max="2556" width="13.7109375" style="1" customWidth="1"/>
    <col min="2557" max="2557" width="8.5703125" style="1" customWidth="1"/>
    <col min="2558" max="2558" width="13" style="1" customWidth="1"/>
    <col min="2559" max="2559" width="9" style="1" customWidth="1"/>
    <col min="2560" max="2560" width="6.7109375" style="1" customWidth="1"/>
    <col min="2561" max="2561" width="9" style="1" customWidth="1"/>
    <col min="2562" max="2562" width="6.85546875" style="1" customWidth="1"/>
    <col min="2563" max="2563" width="10.5703125" style="1" customWidth="1"/>
    <col min="2564" max="2564" width="12.28515625" style="1" customWidth="1"/>
    <col min="2565" max="2565" width="12.5703125" style="1" customWidth="1"/>
    <col min="2566" max="2566" width="1.5703125" style="1" customWidth="1"/>
    <col min="2567" max="2567" width="45.140625" style="1" customWidth="1"/>
    <col min="2568" max="2568" width="13.140625" style="1" customWidth="1"/>
    <col min="2569" max="2569" width="10.28515625" style="1" bestFit="1" customWidth="1"/>
    <col min="2570" max="2570" width="16.28515625" style="1" bestFit="1" customWidth="1"/>
    <col min="2571" max="2571" width="11.28515625" style="1" bestFit="1" customWidth="1"/>
    <col min="2572" max="2804" width="9.140625" style="1"/>
    <col min="2805" max="2805" width="5.140625" style="1" customWidth="1"/>
    <col min="2806" max="2806" width="33.5703125" style="1" customWidth="1"/>
    <col min="2807" max="2807" width="25.85546875" style="1" customWidth="1"/>
    <col min="2808" max="2808" width="0" style="1" hidden="1" customWidth="1"/>
    <col min="2809" max="2809" width="14.85546875" style="1" customWidth="1"/>
    <col min="2810" max="2810" width="13.85546875" style="1" customWidth="1"/>
    <col min="2811" max="2811" width="12.140625" style="1" customWidth="1"/>
    <col min="2812" max="2812" width="13.7109375" style="1" customWidth="1"/>
    <col min="2813" max="2813" width="8.5703125" style="1" customWidth="1"/>
    <col min="2814" max="2814" width="13" style="1" customWidth="1"/>
    <col min="2815" max="2815" width="9" style="1" customWidth="1"/>
    <col min="2816" max="2816" width="6.7109375" style="1" customWidth="1"/>
    <col min="2817" max="2817" width="9" style="1" customWidth="1"/>
    <col min="2818" max="2818" width="6.85546875" style="1" customWidth="1"/>
    <col min="2819" max="2819" width="10.5703125" style="1" customWidth="1"/>
    <col min="2820" max="2820" width="12.28515625" style="1" customWidth="1"/>
    <col min="2821" max="2821" width="12.5703125" style="1" customWidth="1"/>
    <col min="2822" max="2822" width="1.5703125" style="1" customWidth="1"/>
    <col min="2823" max="2823" width="45.140625" style="1" customWidth="1"/>
    <col min="2824" max="2824" width="13.140625" style="1" customWidth="1"/>
    <col min="2825" max="2825" width="10.28515625" style="1" bestFit="1" customWidth="1"/>
    <col min="2826" max="2826" width="16.28515625" style="1" bestFit="1" customWidth="1"/>
    <col min="2827" max="2827" width="11.28515625" style="1" bestFit="1" customWidth="1"/>
    <col min="2828" max="3060" width="9.140625" style="1"/>
    <col min="3061" max="3061" width="5.140625" style="1" customWidth="1"/>
    <col min="3062" max="3062" width="33.5703125" style="1" customWidth="1"/>
    <col min="3063" max="3063" width="25.85546875" style="1" customWidth="1"/>
    <col min="3064" max="3064" width="0" style="1" hidden="1" customWidth="1"/>
    <col min="3065" max="3065" width="14.85546875" style="1" customWidth="1"/>
    <col min="3066" max="3066" width="13.85546875" style="1" customWidth="1"/>
    <col min="3067" max="3067" width="12.140625" style="1" customWidth="1"/>
    <col min="3068" max="3068" width="13.7109375" style="1" customWidth="1"/>
    <col min="3069" max="3069" width="8.5703125" style="1" customWidth="1"/>
    <col min="3070" max="3070" width="13" style="1" customWidth="1"/>
    <col min="3071" max="3071" width="9" style="1" customWidth="1"/>
    <col min="3072" max="3072" width="6.7109375" style="1" customWidth="1"/>
    <col min="3073" max="3073" width="9" style="1" customWidth="1"/>
    <col min="3074" max="3074" width="6.85546875" style="1" customWidth="1"/>
    <col min="3075" max="3075" width="10.5703125" style="1" customWidth="1"/>
    <col min="3076" max="3076" width="12.28515625" style="1" customWidth="1"/>
    <col min="3077" max="3077" width="12.5703125" style="1" customWidth="1"/>
    <col min="3078" max="3078" width="1.5703125" style="1" customWidth="1"/>
    <col min="3079" max="3079" width="45.140625" style="1" customWidth="1"/>
    <col min="3080" max="3080" width="13.140625" style="1" customWidth="1"/>
    <col min="3081" max="3081" width="10.28515625" style="1" bestFit="1" customWidth="1"/>
    <col min="3082" max="3082" width="16.28515625" style="1" bestFit="1" customWidth="1"/>
    <col min="3083" max="3083" width="11.28515625" style="1" bestFit="1" customWidth="1"/>
    <col min="3084" max="3316" width="9.140625" style="1"/>
    <col min="3317" max="3317" width="5.140625" style="1" customWidth="1"/>
    <col min="3318" max="3318" width="33.5703125" style="1" customWidth="1"/>
    <col min="3319" max="3319" width="25.85546875" style="1" customWidth="1"/>
    <col min="3320" max="3320" width="0" style="1" hidden="1" customWidth="1"/>
    <col min="3321" max="3321" width="14.85546875" style="1" customWidth="1"/>
    <col min="3322" max="3322" width="13.85546875" style="1" customWidth="1"/>
    <col min="3323" max="3323" width="12.140625" style="1" customWidth="1"/>
    <col min="3324" max="3324" width="13.7109375" style="1" customWidth="1"/>
    <col min="3325" max="3325" width="8.5703125" style="1" customWidth="1"/>
    <col min="3326" max="3326" width="13" style="1" customWidth="1"/>
    <col min="3327" max="3327" width="9" style="1" customWidth="1"/>
    <col min="3328" max="3328" width="6.7109375" style="1" customWidth="1"/>
    <col min="3329" max="3329" width="9" style="1" customWidth="1"/>
    <col min="3330" max="3330" width="6.85546875" style="1" customWidth="1"/>
    <col min="3331" max="3331" width="10.5703125" style="1" customWidth="1"/>
    <col min="3332" max="3332" width="12.28515625" style="1" customWidth="1"/>
    <col min="3333" max="3333" width="12.5703125" style="1" customWidth="1"/>
    <col min="3334" max="3334" width="1.5703125" style="1" customWidth="1"/>
    <col min="3335" max="3335" width="45.140625" style="1" customWidth="1"/>
    <col min="3336" max="3336" width="13.140625" style="1" customWidth="1"/>
    <col min="3337" max="3337" width="10.28515625" style="1" bestFit="1" customWidth="1"/>
    <col min="3338" max="3338" width="16.28515625" style="1" bestFit="1" customWidth="1"/>
    <col min="3339" max="3339" width="11.28515625" style="1" bestFit="1" customWidth="1"/>
    <col min="3340" max="3572" width="9.140625" style="1"/>
    <col min="3573" max="3573" width="5.140625" style="1" customWidth="1"/>
    <col min="3574" max="3574" width="33.5703125" style="1" customWidth="1"/>
    <col min="3575" max="3575" width="25.85546875" style="1" customWidth="1"/>
    <col min="3576" max="3576" width="0" style="1" hidden="1" customWidth="1"/>
    <col min="3577" max="3577" width="14.85546875" style="1" customWidth="1"/>
    <col min="3578" max="3578" width="13.85546875" style="1" customWidth="1"/>
    <col min="3579" max="3579" width="12.140625" style="1" customWidth="1"/>
    <col min="3580" max="3580" width="13.7109375" style="1" customWidth="1"/>
    <col min="3581" max="3581" width="8.5703125" style="1" customWidth="1"/>
    <col min="3582" max="3582" width="13" style="1" customWidth="1"/>
    <col min="3583" max="3583" width="9" style="1" customWidth="1"/>
    <col min="3584" max="3584" width="6.7109375" style="1" customWidth="1"/>
    <col min="3585" max="3585" width="9" style="1" customWidth="1"/>
    <col min="3586" max="3586" width="6.85546875" style="1" customWidth="1"/>
    <col min="3587" max="3587" width="10.5703125" style="1" customWidth="1"/>
    <col min="3588" max="3588" width="12.28515625" style="1" customWidth="1"/>
    <col min="3589" max="3589" width="12.5703125" style="1" customWidth="1"/>
    <col min="3590" max="3590" width="1.5703125" style="1" customWidth="1"/>
    <col min="3591" max="3591" width="45.140625" style="1" customWidth="1"/>
    <col min="3592" max="3592" width="13.140625" style="1" customWidth="1"/>
    <col min="3593" max="3593" width="10.28515625" style="1" bestFit="1" customWidth="1"/>
    <col min="3594" max="3594" width="16.28515625" style="1" bestFit="1" customWidth="1"/>
    <col min="3595" max="3595" width="11.28515625" style="1" bestFit="1" customWidth="1"/>
    <col min="3596" max="3828" width="9.140625" style="1"/>
    <col min="3829" max="3829" width="5.140625" style="1" customWidth="1"/>
    <col min="3830" max="3830" width="33.5703125" style="1" customWidth="1"/>
    <col min="3831" max="3831" width="25.85546875" style="1" customWidth="1"/>
    <col min="3832" max="3832" width="0" style="1" hidden="1" customWidth="1"/>
    <col min="3833" max="3833" width="14.85546875" style="1" customWidth="1"/>
    <col min="3834" max="3834" width="13.85546875" style="1" customWidth="1"/>
    <col min="3835" max="3835" width="12.140625" style="1" customWidth="1"/>
    <col min="3836" max="3836" width="13.7109375" style="1" customWidth="1"/>
    <col min="3837" max="3837" width="8.5703125" style="1" customWidth="1"/>
    <col min="3838" max="3838" width="13" style="1" customWidth="1"/>
    <col min="3839" max="3839" width="9" style="1" customWidth="1"/>
    <col min="3840" max="3840" width="6.7109375" style="1" customWidth="1"/>
    <col min="3841" max="3841" width="9" style="1" customWidth="1"/>
    <col min="3842" max="3842" width="6.85546875" style="1" customWidth="1"/>
    <col min="3843" max="3843" width="10.5703125" style="1" customWidth="1"/>
    <col min="3844" max="3844" width="12.28515625" style="1" customWidth="1"/>
    <col min="3845" max="3845" width="12.5703125" style="1" customWidth="1"/>
    <col min="3846" max="3846" width="1.5703125" style="1" customWidth="1"/>
    <col min="3847" max="3847" width="45.140625" style="1" customWidth="1"/>
    <col min="3848" max="3848" width="13.140625" style="1" customWidth="1"/>
    <col min="3849" max="3849" width="10.28515625" style="1" bestFit="1" customWidth="1"/>
    <col min="3850" max="3850" width="16.28515625" style="1" bestFit="1" customWidth="1"/>
    <col min="3851" max="3851" width="11.28515625" style="1" bestFit="1" customWidth="1"/>
    <col min="3852" max="4084" width="9.140625" style="1"/>
    <col min="4085" max="4085" width="5.140625" style="1" customWidth="1"/>
    <col min="4086" max="4086" width="33.5703125" style="1" customWidth="1"/>
    <col min="4087" max="4087" width="25.85546875" style="1" customWidth="1"/>
    <col min="4088" max="4088" width="0" style="1" hidden="1" customWidth="1"/>
    <col min="4089" max="4089" width="14.85546875" style="1" customWidth="1"/>
    <col min="4090" max="4090" width="13.85546875" style="1" customWidth="1"/>
    <col min="4091" max="4091" width="12.140625" style="1" customWidth="1"/>
    <col min="4092" max="4092" width="13.7109375" style="1" customWidth="1"/>
    <col min="4093" max="4093" width="8.5703125" style="1" customWidth="1"/>
    <col min="4094" max="4094" width="13" style="1" customWidth="1"/>
    <col min="4095" max="4095" width="9" style="1" customWidth="1"/>
    <col min="4096" max="4096" width="6.7109375" style="1" customWidth="1"/>
    <col min="4097" max="4097" width="9" style="1" customWidth="1"/>
    <col min="4098" max="4098" width="6.85546875" style="1" customWidth="1"/>
    <col min="4099" max="4099" width="10.5703125" style="1" customWidth="1"/>
    <col min="4100" max="4100" width="12.28515625" style="1" customWidth="1"/>
    <col min="4101" max="4101" width="12.5703125" style="1" customWidth="1"/>
    <col min="4102" max="4102" width="1.5703125" style="1" customWidth="1"/>
    <col min="4103" max="4103" width="45.140625" style="1" customWidth="1"/>
    <col min="4104" max="4104" width="13.140625" style="1" customWidth="1"/>
    <col min="4105" max="4105" width="10.28515625" style="1" bestFit="1" customWidth="1"/>
    <col min="4106" max="4106" width="16.28515625" style="1" bestFit="1" customWidth="1"/>
    <col min="4107" max="4107" width="11.28515625" style="1" bestFit="1" customWidth="1"/>
    <col min="4108" max="4340" width="9.140625" style="1"/>
    <col min="4341" max="4341" width="5.140625" style="1" customWidth="1"/>
    <col min="4342" max="4342" width="33.5703125" style="1" customWidth="1"/>
    <col min="4343" max="4343" width="25.85546875" style="1" customWidth="1"/>
    <col min="4344" max="4344" width="0" style="1" hidden="1" customWidth="1"/>
    <col min="4345" max="4345" width="14.85546875" style="1" customWidth="1"/>
    <col min="4346" max="4346" width="13.85546875" style="1" customWidth="1"/>
    <col min="4347" max="4347" width="12.140625" style="1" customWidth="1"/>
    <col min="4348" max="4348" width="13.7109375" style="1" customWidth="1"/>
    <col min="4349" max="4349" width="8.5703125" style="1" customWidth="1"/>
    <col min="4350" max="4350" width="13" style="1" customWidth="1"/>
    <col min="4351" max="4351" width="9" style="1" customWidth="1"/>
    <col min="4352" max="4352" width="6.7109375" style="1" customWidth="1"/>
    <col min="4353" max="4353" width="9" style="1" customWidth="1"/>
    <col min="4354" max="4354" width="6.85546875" style="1" customWidth="1"/>
    <col min="4355" max="4355" width="10.5703125" style="1" customWidth="1"/>
    <col min="4356" max="4356" width="12.28515625" style="1" customWidth="1"/>
    <col min="4357" max="4357" width="12.5703125" style="1" customWidth="1"/>
    <col min="4358" max="4358" width="1.5703125" style="1" customWidth="1"/>
    <col min="4359" max="4359" width="45.140625" style="1" customWidth="1"/>
    <col min="4360" max="4360" width="13.140625" style="1" customWidth="1"/>
    <col min="4361" max="4361" width="10.28515625" style="1" bestFit="1" customWidth="1"/>
    <col min="4362" max="4362" width="16.28515625" style="1" bestFit="1" customWidth="1"/>
    <col min="4363" max="4363" width="11.28515625" style="1" bestFit="1" customWidth="1"/>
    <col min="4364" max="4596" width="9.140625" style="1"/>
    <col min="4597" max="4597" width="5.140625" style="1" customWidth="1"/>
    <col min="4598" max="4598" width="33.5703125" style="1" customWidth="1"/>
    <col min="4599" max="4599" width="25.85546875" style="1" customWidth="1"/>
    <col min="4600" max="4600" width="0" style="1" hidden="1" customWidth="1"/>
    <col min="4601" max="4601" width="14.85546875" style="1" customWidth="1"/>
    <col min="4602" max="4602" width="13.85546875" style="1" customWidth="1"/>
    <col min="4603" max="4603" width="12.140625" style="1" customWidth="1"/>
    <col min="4604" max="4604" width="13.7109375" style="1" customWidth="1"/>
    <col min="4605" max="4605" width="8.5703125" style="1" customWidth="1"/>
    <col min="4606" max="4606" width="13" style="1" customWidth="1"/>
    <col min="4607" max="4607" width="9" style="1" customWidth="1"/>
    <col min="4608" max="4608" width="6.7109375" style="1" customWidth="1"/>
    <col min="4609" max="4609" width="9" style="1" customWidth="1"/>
    <col min="4610" max="4610" width="6.85546875" style="1" customWidth="1"/>
    <col min="4611" max="4611" width="10.5703125" style="1" customWidth="1"/>
    <col min="4612" max="4612" width="12.28515625" style="1" customWidth="1"/>
    <col min="4613" max="4613" width="12.5703125" style="1" customWidth="1"/>
    <col min="4614" max="4614" width="1.5703125" style="1" customWidth="1"/>
    <col min="4615" max="4615" width="45.140625" style="1" customWidth="1"/>
    <col min="4616" max="4616" width="13.140625" style="1" customWidth="1"/>
    <col min="4617" max="4617" width="10.28515625" style="1" bestFit="1" customWidth="1"/>
    <col min="4618" max="4618" width="16.28515625" style="1" bestFit="1" customWidth="1"/>
    <col min="4619" max="4619" width="11.28515625" style="1" bestFit="1" customWidth="1"/>
    <col min="4620" max="4852" width="9.140625" style="1"/>
    <col min="4853" max="4853" width="5.140625" style="1" customWidth="1"/>
    <col min="4854" max="4854" width="33.5703125" style="1" customWidth="1"/>
    <col min="4855" max="4855" width="25.85546875" style="1" customWidth="1"/>
    <col min="4856" max="4856" width="0" style="1" hidden="1" customWidth="1"/>
    <col min="4857" max="4857" width="14.85546875" style="1" customWidth="1"/>
    <col min="4858" max="4858" width="13.85546875" style="1" customWidth="1"/>
    <col min="4859" max="4859" width="12.140625" style="1" customWidth="1"/>
    <col min="4860" max="4860" width="13.7109375" style="1" customWidth="1"/>
    <col min="4861" max="4861" width="8.5703125" style="1" customWidth="1"/>
    <col min="4862" max="4862" width="13" style="1" customWidth="1"/>
    <col min="4863" max="4863" width="9" style="1" customWidth="1"/>
    <col min="4864" max="4864" width="6.7109375" style="1" customWidth="1"/>
    <col min="4865" max="4865" width="9" style="1" customWidth="1"/>
    <col min="4866" max="4866" width="6.85546875" style="1" customWidth="1"/>
    <col min="4867" max="4867" width="10.5703125" style="1" customWidth="1"/>
    <col min="4868" max="4868" width="12.28515625" style="1" customWidth="1"/>
    <col min="4869" max="4869" width="12.5703125" style="1" customWidth="1"/>
    <col min="4870" max="4870" width="1.5703125" style="1" customWidth="1"/>
    <col min="4871" max="4871" width="45.140625" style="1" customWidth="1"/>
    <col min="4872" max="4872" width="13.140625" style="1" customWidth="1"/>
    <col min="4873" max="4873" width="10.28515625" style="1" bestFit="1" customWidth="1"/>
    <col min="4874" max="4874" width="16.28515625" style="1" bestFit="1" customWidth="1"/>
    <col min="4875" max="4875" width="11.28515625" style="1" bestFit="1" customWidth="1"/>
    <col min="4876" max="5108" width="9.140625" style="1"/>
    <col min="5109" max="5109" width="5.140625" style="1" customWidth="1"/>
    <col min="5110" max="5110" width="33.5703125" style="1" customWidth="1"/>
    <col min="5111" max="5111" width="25.85546875" style="1" customWidth="1"/>
    <col min="5112" max="5112" width="0" style="1" hidden="1" customWidth="1"/>
    <col min="5113" max="5113" width="14.85546875" style="1" customWidth="1"/>
    <col min="5114" max="5114" width="13.85546875" style="1" customWidth="1"/>
    <col min="5115" max="5115" width="12.140625" style="1" customWidth="1"/>
    <col min="5116" max="5116" width="13.7109375" style="1" customWidth="1"/>
    <col min="5117" max="5117" width="8.5703125" style="1" customWidth="1"/>
    <col min="5118" max="5118" width="13" style="1" customWidth="1"/>
    <col min="5119" max="5119" width="9" style="1" customWidth="1"/>
    <col min="5120" max="5120" width="6.7109375" style="1" customWidth="1"/>
    <col min="5121" max="5121" width="9" style="1" customWidth="1"/>
    <col min="5122" max="5122" width="6.85546875" style="1" customWidth="1"/>
    <col min="5123" max="5123" width="10.5703125" style="1" customWidth="1"/>
    <col min="5124" max="5124" width="12.28515625" style="1" customWidth="1"/>
    <col min="5125" max="5125" width="12.5703125" style="1" customWidth="1"/>
    <col min="5126" max="5126" width="1.5703125" style="1" customWidth="1"/>
    <col min="5127" max="5127" width="45.140625" style="1" customWidth="1"/>
    <col min="5128" max="5128" width="13.140625" style="1" customWidth="1"/>
    <col min="5129" max="5129" width="10.28515625" style="1" bestFit="1" customWidth="1"/>
    <col min="5130" max="5130" width="16.28515625" style="1" bestFit="1" customWidth="1"/>
    <col min="5131" max="5131" width="11.28515625" style="1" bestFit="1" customWidth="1"/>
    <col min="5132" max="5364" width="9.140625" style="1"/>
    <col min="5365" max="5365" width="5.140625" style="1" customWidth="1"/>
    <col min="5366" max="5366" width="33.5703125" style="1" customWidth="1"/>
    <col min="5367" max="5367" width="25.85546875" style="1" customWidth="1"/>
    <col min="5368" max="5368" width="0" style="1" hidden="1" customWidth="1"/>
    <col min="5369" max="5369" width="14.85546875" style="1" customWidth="1"/>
    <col min="5370" max="5370" width="13.85546875" style="1" customWidth="1"/>
    <col min="5371" max="5371" width="12.140625" style="1" customWidth="1"/>
    <col min="5372" max="5372" width="13.7109375" style="1" customWidth="1"/>
    <col min="5373" max="5373" width="8.5703125" style="1" customWidth="1"/>
    <col min="5374" max="5374" width="13" style="1" customWidth="1"/>
    <col min="5375" max="5375" width="9" style="1" customWidth="1"/>
    <col min="5376" max="5376" width="6.7109375" style="1" customWidth="1"/>
    <col min="5377" max="5377" width="9" style="1" customWidth="1"/>
    <col min="5378" max="5378" width="6.85546875" style="1" customWidth="1"/>
    <col min="5379" max="5379" width="10.5703125" style="1" customWidth="1"/>
    <col min="5380" max="5380" width="12.28515625" style="1" customWidth="1"/>
    <col min="5381" max="5381" width="12.5703125" style="1" customWidth="1"/>
    <col min="5382" max="5382" width="1.5703125" style="1" customWidth="1"/>
    <col min="5383" max="5383" width="45.140625" style="1" customWidth="1"/>
    <col min="5384" max="5384" width="13.140625" style="1" customWidth="1"/>
    <col min="5385" max="5385" width="10.28515625" style="1" bestFit="1" customWidth="1"/>
    <col min="5386" max="5386" width="16.28515625" style="1" bestFit="1" customWidth="1"/>
    <col min="5387" max="5387" width="11.28515625" style="1" bestFit="1" customWidth="1"/>
    <col min="5388" max="5620" width="9.140625" style="1"/>
    <col min="5621" max="5621" width="5.140625" style="1" customWidth="1"/>
    <col min="5622" max="5622" width="33.5703125" style="1" customWidth="1"/>
    <col min="5623" max="5623" width="25.85546875" style="1" customWidth="1"/>
    <col min="5624" max="5624" width="0" style="1" hidden="1" customWidth="1"/>
    <col min="5625" max="5625" width="14.85546875" style="1" customWidth="1"/>
    <col min="5626" max="5626" width="13.85546875" style="1" customWidth="1"/>
    <col min="5627" max="5627" width="12.140625" style="1" customWidth="1"/>
    <col min="5628" max="5628" width="13.7109375" style="1" customWidth="1"/>
    <col min="5629" max="5629" width="8.5703125" style="1" customWidth="1"/>
    <col min="5630" max="5630" width="13" style="1" customWidth="1"/>
    <col min="5631" max="5631" width="9" style="1" customWidth="1"/>
    <col min="5632" max="5632" width="6.7109375" style="1" customWidth="1"/>
    <col min="5633" max="5633" width="9" style="1" customWidth="1"/>
    <col min="5634" max="5634" width="6.85546875" style="1" customWidth="1"/>
    <col min="5635" max="5635" width="10.5703125" style="1" customWidth="1"/>
    <col min="5636" max="5636" width="12.28515625" style="1" customWidth="1"/>
    <col min="5637" max="5637" width="12.5703125" style="1" customWidth="1"/>
    <col min="5638" max="5638" width="1.5703125" style="1" customWidth="1"/>
    <col min="5639" max="5639" width="45.140625" style="1" customWidth="1"/>
    <col min="5640" max="5640" width="13.140625" style="1" customWidth="1"/>
    <col min="5641" max="5641" width="10.28515625" style="1" bestFit="1" customWidth="1"/>
    <col min="5642" max="5642" width="16.28515625" style="1" bestFit="1" customWidth="1"/>
    <col min="5643" max="5643" width="11.28515625" style="1" bestFit="1" customWidth="1"/>
    <col min="5644" max="5876" width="9.140625" style="1"/>
    <col min="5877" max="5877" width="5.140625" style="1" customWidth="1"/>
    <col min="5878" max="5878" width="33.5703125" style="1" customWidth="1"/>
    <col min="5879" max="5879" width="25.85546875" style="1" customWidth="1"/>
    <col min="5880" max="5880" width="0" style="1" hidden="1" customWidth="1"/>
    <col min="5881" max="5881" width="14.85546875" style="1" customWidth="1"/>
    <col min="5882" max="5882" width="13.85546875" style="1" customWidth="1"/>
    <col min="5883" max="5883" width="12.140625" style="1" customWidth="1"/>
    <col min="5884" max="5884" width="13.7109375" style="1" customWidth="1"/>
    <col min="5885" max="5885" width="8.5703125" style="1" customWidth="1"/>
    <col min="5886" max="5886" width="13" style="1" customWidth="1"/>
    <col min="5887" max="5887" width="9" style="1" customWidth="1"/>
    <col min="5888" max="5888" width="6.7109375" style="1" customWidth="1"/>
    <col min="5889" max="5889" width="9" style="1" customWidth="1"/>
    <col min="5890" max="5890" width="6.85546875" style="1" customWidth="1"/>
    <col min="5891" max="5891" width="10.5703125" style="1" customWidth="1"/>
    <col min="5892" max="5892" width="12.28515625" style="1" customWidth="1"/>
    <col min="5893" max="5893" width="12.5703125" style="1" customWidth="1"/>
    <col min="5894" max="5894" width="1.5703125" style="1" customWidth="1"/>
    <col min="5895" max="5895" width="45.140625" style="1" customWidth="1"/>
    <col min="5896" max="5896" width="13.140625" style="1" customWidth="1"/>
    <col min="5897" max="5897" width="10.28515625" style="1" bestFit="1" customWidth="1"/>
    <col min="5898" max="5898" width="16.28515625" style="1" bestFit="1" customWidth="1"/>
    <col min="5899" max="5899" width="11.28515625" style="1" bestFit="1" customWidth="1"/>
    <col min="5900" max="6132" width="9.140625" style="1"/>
    <col min="6133" max="6133" width="5.140625" style="1" customWidth="1"/>
    <col min="6134" max="6134" width="33.5703125" style="1" customWidth="1"/>
    <col min="6135" max="6135" width="25.85546875" style="1" customWidth="1"/>
    <col min="6136" max="6136" width="0" style="1" hidden="1" customWidth="1"/>
    <col min="6137" max="6137" width="14.85546875" style="1" customWidth="1"/>
    <col min="6138" max="6138" width="13.85546875" style="1" customWidth="1"/>
    <col min="6139" max="6139" width="12.140625" style="1" customWidth="1"/>
    <col min="6140" max="6140" width="13.7109375" style="1" customWidth="1"/>
    <col min="6141" max="6141" width="8.5703125" style="1" customWidth="1"/>
    <col min="6142" max="6142" width="13" style="1" customWidth="1"/>
    <col min="6143" max="6143" width="9" style="1" customWidth="1"/>
    <col min="6144" max="6144" width="6.7109375" style="1" customWidth="1"/>
    <col min="6145" max="6145" width="9" style="1" customWidth="1"/>
    <col min="6146" max="6146" width="6.85546875" style="1" customWidth="1"/>
    <col min="6147" max="6147" width="10.5703125" style="1" customWidth="1"/>
    <col min="6148" max="6148" width="12.28515625" style="1" customWidth="1"/>
    <col min="6149" max="6149" width="12.5703125" style="1" customWidth="1"/>
    <col min="6150" max="6150" width="1.5703125" style="1" customWidth="1"/>
    <col min="6151" max="6151" width="45.140625" style="1" customWidth="1"/>
    <col min="6152" max="6152" width="13.140625" style="1" customWidth="1"/>
    <col min="6153" max="6153" width="10.28515625" style="1" bestFit="1" customWidth="1"/>
    <col min="6154" max="6154" width="16.28515625" style="1" bestFit="1" customWidth="1"/>
    <col min="6155" max="6155" width="11.28515625" style="1" bestFit="1" customWidth="1"/>
    <col min="6156" max="6388" width="9.140625" style="1"/>
    <col min="6389" max="6389" width="5.140625" style="1" customWidth="1"/>
    <col min="6390" max="6390" width="33.5703125" style="1" customWidth="1"/>
    <col min="6391" max="6391" width="25.85546875" style="1" customWidth="1"/>
    <col min="6392" max="6392" width="0" style="1" hidden="1" customWidth="1"/>
    <col min="6393" max="6393" width="14.85546875" style="1" customWidth="1"/>
    <col min="6394" max="6394" width="13.85546875" style="1" customWidth="1"/>
    <col min="6395" max="6395" width="12.140625" style="1" customWidth="1"/>
    <col min="6396" max="6396" width="13.7109375" style="1" customWidth="1"/>
    <col min="6397" max="6397" width="8.5703125" style="1" customWidth="1"/>
    <col min="6398" max="6398" width="13" style="1" customWidth="1"/>
    <col min="6399" max="6399" width="9" style="1" customWidth="1"/>
    <col min="6400" max="6400" width="6.7109375" style="1" customWidth="1"/>
    <col min="6401" max="6401" width="9" style="1" customWidth="1"/>
    <col min="6402" max="6402" width="6.85546875" style="1" customWidth="1"/>
    <col min="6403" max="6403" width="10.5703125" style="1" customWidth="1"/>
    <col min="6404" max="6404" width="12.28515625" style="1" customWidth="1"/>
    <col min="6405" max="6405" width="12.5703125" style="1" customWidth="1"/>
    <col min="6406" max="6406" width="1.5703125" style="1" customWidth="1"/>
    <col min="6407" max="6407" width="45.140625" style="1" customWidth="1"/>
    <col min="6408" max="6408" width="13.140625" style="1" customWidth="1"/>
    <col min="6409" max="6409" width="10.28515625" style="1" bestFit="1" customWidth="1"/>
    <col min="6410" max="6410" width="16.28515625" style="1" bestFit="1" customWidth="1"/>
    <col min="6411" max="6411" width="11.28515625" style="1" bestFit="1" customWidth="1"/>
    <col min="6412" max="6644" width="9.140625" style="1"/>
    <col min="6645" max="6645" width="5.140625" style="1" customWidth="1"/>
    <col min="6646" max="6646" width="33.5703125" style="1" customWidth="1"/>
    <col min="6647" max="6647" width="25.85546875" style="1" customWidth="1"/>
    <col min="6648" max="6648" width="0" style="1" hidden="1" customWidth="1"/>
    <col min="6649" max="6649" width="14.85546875" style="1" customWidth="1"/>
    <col min="6650" max="6650" width="13.85546875" style="1" customWidth="1"/>
    <col min="6651" max="6651" width="12.140625" style="1" customWidth="1"/>
    <col min="6652" max="6652" width="13.7109375" style="1" customWidth="1"/>
    <col min="6653" max="6653" width="8.5703125" style="1" customWidth="1"/>
    <col min="6654" max="6654" width="13" style="1" customWidth="1"/>
    <col min="6655" max="6655" width="9" style="1" customWidth="1"/>
    <col min="6656" max="6656" width="6.7109375" style="1" customWidth="1"/>
    <col min="6657" max="6657" width="9" style="1" customWidth="1"/>
    <col min="6658" max="6658" width="6.85546875" style="1" customWidth="1"/>
    <col min="6659" max="6659" width="10.5703125" style="1" customWidth="1"/>
    <col min="6660" max="6660" width="12.28515625" style="1" customWidth="1"/>
    <col min="6661" max="6661" width="12.5703125" style="1" customWidth="1"/>
    <col min="6662" max="6662" width="1.5703125" style="1" customWidth="1"/>
    <col min="6663" max="6663" width="45.140625" style="1" customWidth="1"/>
    <col min="6664" max="6664" width="13.140625" style="1" customWidth="1"/>
    <col min="6665" max="6665" width="10.28515625" style="1" bestFit="1" customWidth="1"/>
    <col min="6666" max="6666" width="16.28515625" style="1" bestFit="1" customWidth="1"/>
    <col min="6667" max="6667" width="11.28515625" style="1" bestFit="1" customWidth="1"/>
    <col min="6668" max="6900" width="9.140625" style="1"/>
    <col min="6901" max="6901" width="5.140625" style="1" customWidth="1"/>
    <col min="6902" max="6902" width="33.5703125" style="1" customWidth="1"/>
    <col min="6903" max="6903" width="25.85546875" style="1" customWidth="1"/>
    <col min="6904" max="6904" width="0" style="1" hidden="1" customWidth="1"/>
    <col min="6905" max="6905" width="14.85546875" style="1" customWidth="1"/>
    <col min="6906" max="6906" width="13.85546875" style="1" customWidth="1"/>
    <col min="6907" max="6907" width="12.140625" style="1" customWidth="1"/>
    <col min="6908" max="6908" width="13.7109375" style="1" customWidth="1"/>
    <col min="6909" max="6909" width="8.5703125" style="1" customWidth="1"/>
    <col min="6910" max="6910" width="13" style="1" customWidth="1"/>
    <col min="6911" max="6911" width="9" style="1" customWidth="1"/>
    <col min="6912" max="6912" width="6.7109375" style="1" customWidth="1"/>
    <col min="6913" max="6913" width="9" style="1" customWidth="1"/>
    <col min="6914" max="6914" width="6.85546875" style="1" customWidth="1"/>
    <col min="6915" max="6915" width="10.5703125" style="1" customWidth="1"/>
    <col min="6916" max="6916" width="12.28515625" style="1" customWidth="1"/>
    <col min="6917" max="6917" width="12.5703125" style="1" customWidth="1"/>
    <col min="6918" max="6918" width="1.5703125" style="1" customWidth="1"/>
    <col min="6919" max="6919" width="45.140625" style="1" customWidth="1"/>
    <col min="6920" max="6920" width="13.140625" style="1" customWidth="1"/>
    <col min="6921" max="6921" width="10.28515625" style="1" bestFit="1" customWidth="1"/>
    <col min="6922" max="6922" width="16.28515625" style="1" bestFit="1" customWidth="1"/>
    <col min="6923" max="6923" width="11.28515625" style="1" bestFit="1" customWidth="1"/>
    <col min="6924" max="7156" width="9.140625" style="1"/>
    <col min="7157" max="7157" width="5.140625" style="1" customWidth="1"/>
    <col min="7158" max="7158" width="33.5703125" style="1" customWidth="1"/>
    <col min="7159" max="7159" width="25.85546875" style="1" customWidth="1"/>
    <col min="7160" max="7160" width="0" style="1" hidden="1" customWidth="1"/>
    <col min="7161" max="7161" width="14.85546875" style="1" customWidth="1"/>
    <col min="7162" max="7162" width="13.85546875" style="1" customWidth="1"/>
    <col min="7163" max="7163" width="12.140625" style="1" customWidth="1"/>
    <col min="7164" max="7164" width="13.7109375" style="1" customWidth="1"/>
    <col min="7165" max="7165" width="8.5703125" style="1" customWidth="1"/>
    <col min="7166" max="7166" width="13" style="1" customWidth="1"/>
    <col min="7167" max="7167" width="9" style="1" customWidth="1"/>
    <col min="7168" max="7168" width="6.7109375" style="1" customWidth="1"/>
    <col min="7169" max="7169" width="9" style="1" customWidth="1"/>
    <col min="7170" max="7170" width="6.85546875" style="1" customWidth="1"/>
    <col min="7171" max="7171" width="10.5703125" style="1" customWidth="1"/>
    <col min="7172" max="7172" width="12.28515625" style="1" customWidth="1"/>
    <col min="7173" max="7173" width="12.5703125" style="1" customWidth="1"/>
    <col min="7174" max="7174" width="1.5703125" style="1" customWidth="1"/>
    <col min="7175" max="7175" width="45.140625" style="1" customWidth="1"/>
    <col min="7176" max="7176" width="13.140625" style="1" customWidth="1"/>
    <col min="7177" max="7177" width="10.28515625" style="1" bestFit="1" customWidth="1"/>
    <col min="7178" max="7178" width="16.28515625" style="1" bestFit="1" customWidth="1"/>
    <col min="7179" max="7179" width="11.28515625" style="1" bestFit="1" customWidth="1"/>
    <col min="7180" max="7412" width="9.140625" style="1"/>
    <col min="7413" max="7413" width="5.140625" style="1" customWidth="1"/>
    <col min="7414" max="7414" width="33.5703125" style="1" customWidth="1"/>
    <col min="7415" max="7415" width="25.85546875" style="1" customWidth="1"/>
    <col min="7416" max="7416" width="0" style="1" hidden="1" customWidth="1"/>
    <col min="7417" max="7417" width="14.85546875" style="1" customWidth="1"/>
    <col min="7418" max="7418" width="13.85546875" style="1" customWidth="1"/>
    <col min="7419" max="7419" width="12.140625" style="1" customWidth="1"/>
    <col min="7420" max="7420" width="13.7109375" style="1" customWidth="1"/>
    <col min="7421" max="7421" width="8.5703125" style="1" customWidth="1"/>
    <col min="7422" max="7422" width="13" style="1" customWidth="1"/>
    <col min="7423" max="7423" width="9" style="1" customWidth="1"/>
    <col min="7424" max="7424" width="6.7109375" style="1" customWidth="1"/>
    <col min="7425" max="7425" width="9" style="1" customWidth="1"/>
    <col min="7426" max="7426" width="6.85546875" style="1" customWidth="1"/>
    <col min="7427" max="7427" width="10.5703125" style="1" customWidth="1"/>
    <col min="7428" max="7428" width="12.28515625" style="1" customWidth="1"/>
    <col min="7429" max="7429" width="12.5703125" style="1" customWidth="1"/>
    <col min="7430" max="7430" width="1.5703125" style="1" customWidth="1"/>
    <col min="7431" max="7431" width="45.140625" style="1" customWidth="1"/>
    <col min="7432" max="7432" width="13.140625" style="1" customWidth="1"/>
    <col min="7433" max="7433" width="10.28515625" style="1" bestFit="1" customWidth="1"/>
    <col min="7434" max="7434" width="16.28515625" style="1" bestFit="1" customWidth="1"/>
    <col min="7435" max="7435" width="11.28515625" style="1" bestFit="1" customWidth="1"/>
    <col min="7436" max="7668" width="9.140625" style="1"/>
    <col min="7669" max="7669" width="5.140625" style="1" customWidth="1"/>
    <col min="7670" max="7670" width="33.5703125" style="1" customWidth="1"/>
    <col min="7671" max="7671" width="25.85546875" style="1" customWidth="1"/>
    <col min="7672" max="7672" width="0" style="1" hidden="1" customWidth="1"/>
    <col min="7673" max="7673" width="14.85546875" style="1" customWidth="1"/>
    <col min="7674" max="7674" width="13.85546875" style="1" customWidth="1"/>
    <col min="7675" max="7675" width="12.140625" style="1" customWidth="1"/>
    <col min="7676" max="7676" width="13.7109375" style="1" customWidth="1"/>
    <col min="7677" max="7677" width="8.5703125" style="1" customWidth="1"/>
    <col min="7678" max="7678" width="13" style="1" customWidth="1"/>
    <col min="7679" max="7679" width="9" style="1" customWidth="1"/>
    <col min="7680" max="7680" width="6.7109375" style="1" customWidth="1"/>
    <col min="7681" max="7681" width="9" style="1" customWidth="1"/>
    <col min="7682" max="7682" width="6.85546875" style="1" customWidth="1"/>
    <col min="7683" max="7683" width="10.5703125" style="1" customWidth="1"/>
    <col min="7684" max="7684" width="12.28515625" style="1" customWidth="1"/>
    <col min="7685" max="7685" width="12.5703125" style="1" customWidth="1"/>
    <col min="7686" max="7686" width="1.5703125" style="1" customWidth="1"/>
    <col min="7687" max="7687" width="45.140625" style="1" customWidth="1"/>
    <col min="7688" max="7688" width="13.140625" style="1" customWidth="1"/>
    <col min="7689" max="7689" width="10.28515625" style="1" bestFit="1" customWidth="1"/>
    <col min="7690" max="7690" width="16.28515625" style="1" bestFit="1" customWidth="1"/>
    <col min="7691" max="7691" width="11.28515625" style="1" bestFit="1" customWidth="1"/>
    <col min="7692" max="7924" width="9.140625" style="1"/>
    <col min="7925" max="7925" width="5.140625" style="1" customWidth="1"/>
    <col min="7926" max="7926" width="33.5703125" style="1" customWidth="1"/>
    <col min="7927" max="7927" width="25.85546875" style="1" customWidth="1"/>
    <col min="7928" max="7928" width="0" style="1" hidden="1" customWidth="1"/>
    <col min="7929" max="7929" width="14.85546875" style="1" customWidth="1"/>
    <col min="7930" max="7930" width="13.85546875" style="1" customWidth="1"/>
    <col min="7931" max="7931" width="12.140625" style="1" customWidth="1"/>
    <col min="7932" max="7932" width="13.7109375" style="1" customWidth="1"/>
    <col min="7933" max="7933" width="8.5703125" style="1" customWidth="1"/>
    <col min="7934" max="7934" width="13" style="1" customWidth="1"/>
    <col min="7935" max="7935" width="9" style="1" customWidth="1"/>
    <col min="7936" max="7936" width="6.7109375" style="1" customWidth="1"/>
    <col min="7937" max="7937" width="9" style="1" customWidth="1"/>
    <col min="7938" max="7938" width="6.85546875" style="1" customWidth="1"/>
    <col min="7939" max="7939" width="10.5703125" style="1" customWidth="1"/>
    <col min="7940" max="7940" width="12.28515625" style="1" customWidth="1"/>
    <col min="7941" max="7941" width="12.5703125" style="1" customWidth="1"/>
    <col min="7942" max="7942" width="1.5703125" style="1" customWidth="1"/>
    <col min="7943" max="7943" width="45.140625" style="1" customWidth="1"/>
    <col min="7944" max="7944" width="13.140625" style="1" customWidth="1"/>
    <col min="7945" max="7945" width="10.28515625" style="1" bestFit="1" customWidth="1"/>
    <col min="7946" max="7946" width="16.28515625" style="1" bestFit="1" customWidth="1"/>
    <col min="7947" max="7947" width="11.28515625" style="1" bestFit="1" customWidth="1"/>
    <col min="7948" max="8180" width="9.140625" style="1"/>
    <col min="8181" max="8181" width="5.140625" style="1" customWidth="1"/>
    <col min="8182" max="8182" width="33.5703125" style="1" customWidth="1"/>
    <col min="8183" max="8183" width="25.85546875" style="1" customWidth="1"/>
    <col min="8184" max="8184" width="0" style="1" hidden="1" customWidth="1"/>
    <col min="8185" max="8185" width="14.85546875" style="1" customWidth="1"/>
    <col min="8186" max="8186" width="13.85546875" style="1" customWidth="1"/>
    <col min="8187" max="8187" width="12.140625" style="1" customWidth="1"/>
    <col min="8188" max="8188" width="13.7109375" style="1" customWidth="1"/>
    <col min="8189" max="8189" width="8.5703125" style="1" customWidth="1"/>
    <col min="8190" max="8190" width="13" style="1" customWidth="1"/>
    <col min="8191" max="8191" width="9" style="1" customWidth="1"/>
    <col min="8192" max="8192" width="6.7109375" style="1" customWidth="1"/>
    <col min="8193" max="8193" width="9" style="1" customWidth="1"/>
    <col min="8194" max="8194" width="6.85546875" style="1" customWidth="1"/>
    <col min="8195" max="8195" width="10.5703125" style="1" customWidth="1"/>
    <col min="8196" max="8196" width="12.28515625" style="1" customWidth="1"/>
    <col min="8197" max="8197" width="12.5703125" style="1" customWidth="1"/>
    <col min="8198" max="8198" width="1.5703125" style="1" customWidth="1"/>
    <col min="8199" max="8199" width="45.140625" style="1" customWidth="1"/>
    <col min="8200" max="8200" width="13.140625" style="1" customWidth="1"/>
    <col min="8201" max="8201" width="10.28515625" style="1" bestFit="1" customWidth="1"/>
    <col min="8202" max="8202" width="16.28515625" style="1" bestFit="1" customWidth="1"/>
    <col min="8203" max="8203" width="11.28515625" style="1" bestFit="1" customWidth="1"/>
    <col min="8204" max="8436" width="9.140625" style="1"/>
    <col min="8437" max="8437" width="5.140625" style="1" customWidth="1"/>
    <col min="8438" max="8438" width="33.5703125" style="1" customWidth="1"/>
    <col min="8439" max="8439" width="25.85546875" style="1" customWidth="1"/>
    <col min="8440" max="8440" width="0" style="1" hidden="1" customWidth="1"/>
    <col min="8441" max="8441" width="14.85546875" style="1" customWidth="1"/>
    <col min="8442" max="8442" width="13.85546875" style="1" customWidth="1"/>
    <col min="8443" max="8443" width="12.140625" style="1" customWidth="1"/>
    <col min="8444" max="8444" width="13.7109375" style="1" customWidth="1"/>
    <col min="8445" max="8445" width="8.5703125" style="1" customWidth="1"/>
    <col min="8446" max="8446" width="13" style="1" customWidth="1"/>
    <col min="8447" max="8447" width="9" style="1" customWidth="1"/>
    <col min="8448" max="8448" width="6.7109375" style="1" customWidth="1"/>
    <col min="8449" max="8449" width="9" style="1" customWidth="1"/>
    <col min="8450" max="8450" width="6.85546875" style="1" customWidth="1"/>
    <col min="8451" max="8451" width="10.5703125" style="1" customWidth="1"/>
    <col min="8452" max="8452" width="12.28515625" style="1" customWidth="1"/>
    <col min="8453" max="8453" width="12.5703125" style="1" customWidth="1"/>
    <col min="8454" max="8454" width="1.5703125" style="1" customWidth="1"/>
    <col min="8455" max="8455" width="45.140625" style="1" customWidth="1"/>
    <col min="8456" max="8456" width="13.140625" style="1" customWidth="1"/>
    <col min="8457" max="8457" width="10.28515625" style="1" bestFit="1" customWidth="1"/>
    <col min="8458" max="8458" width="16.28515625" style="1" bestFit="1" customWidth="1"/>
    <col min="8459" max="8459" width="11.28515625" style="1" bestFit="1" customWidth="1"/>
    <col min="8460" max="8692" width="9.140625" style="1"/>
    <col min="8693" max="8693" width="5.140625" style="1" customWidth="1"/>
    <col min="8694" max="8694" width="33.5703125" style="1" customWidth="1"/>
    <col min="8695" max="8695" width="25.85546875" style="1" customWidth="1"/>
    <col min="8696" max="8696" width="0" style="1" hidden="1" customWidth="1"/>
    <col min="8697" max="8697" width="14.85546875" style="1" customWidth="1"/>
    <col min="8698" max="8698" width="13.85546875" style="1" customWidth="1"/>
    <col min="8699" max="8699" width="12.140625" style="1" customWidth="1"/>
    <col min="8700" max="8700" width="13.7109375" style="1" customWidth="1"/>
    <col min="8701" max="8701" width="8.5703125" style="1" customWidth="1"/>
    <col min="8702" max="8702" width="13" style="1" customWidth="1"/>
    <col min="8703" max="8703" width="9" style="1" customWidth="1"/>
    <col min="8704" max="8704" width="6.7109375" style="1" customWidth="1"/>
    <col min="8705" max="8705" width="9" style="1" customWidth="1"/>
    <col min="8706" max="8706" width="6.85546875" style="1" customWidth="1"/>
    <col min="8707" max="8707" width="10.5703125" style="1" customWidth="1"/>
    <col min="8708" max="8708" width="12.28515625" style="1" customWidth="1"/>
    <col min="8709" max="8709" width="12.5703125" style="1" customWidth="1"/>
    <col min="8710" max="8710" width="1.5703125" style="1" customWidth="1"/>
    <col min="8711" max="8711" width="45.140625" style="1" customWidth="1"/>
    <col min="8712" max="8712" width="13.140625" style="1" customWidth="1"/>
    <col min="8713" max="8713" width="10.28515625" style="1" bestFit="1" customWidth="1"/>
    <col min="8714" max="8714" width="16.28515625" style="1" bestFit="1" customWidth="1"/>
    <col min="8715" max="8715" width="11.28515625" style="1" bestFit="1" customWidth="1"/>
    <col min="8716" max="8948" width="9.140625" style="1"/>
    <col min="8949" max="8949" width="5.140625" style="1" customWidth="1"/>
    <col min="8950" max="8950" width="33.5703125" style="1" customWidth="1"/>
    <col min="8951" max="8951" width="25.85546875" style="1" customWidth="1"/>
    <col min="8952" max="8952" width="0" style="1" hidden="1" customWidth="1"/>
    <col min="8953" max="8953" width="14.85546875" style="1" customWidth="1"/>
    <col min="8954" max="8954" width="13.85546875" style="1" customWidth="1"/>
    <col min="8955" max="8955" width="12.140625" style="1" customWidth="1"/>
    <col min="8956" max="8956" width="13.7109375" style="1" customWidth="1"/>
    <col min="8957" max="8957" width="8.5703125" style="1" customWidth="1"/>
    <col min="8958" max="8958" width="13" style="1" customWidth="1"/>
    <col min="8959" max="8959" width="9" style="1" customWidth="1"/>
    <col min="8960" max="8960" width="6.7109375" style="1" customWidth="1"/>
    <col min="8961" max="8961" width="9" style="1" customWidth="1"/>
    <col min="8962" max="8962" width="6.85546875" style="1" customWidth="1"/>
    <col min="8963" max="8963" width="10.5703125" style="1" customWidth="1"/>
    <col min="8964" max="8964" width="12.28515625" style="1" customWidth="1"/>
    <col min="8965" max="8965" width="12.5703125" style="1" customWidth="1"/>
    <col min="8966" max="8966" width="1.5703125" style="1" customWidth="1"/>
    <col min="8967" max="8967" width="45.140625" style="1" customWidth="1"/>
    <col min="8968" max="8968" width="13.140625" style="1" customWidth="1"/>
    <col min="8969" max="8969" width="10.28515625" style="1" bestFit="1" customWidth="1"/>
    <col min="8970" max="8970" width="16.28515625" style="1" bestFit="1" customWidth="1"/>
    <col min="8971" max="8971" width="11.28515625" style="1" bestFit="1" customWidth="1"/>
    <col min="8972" max="9204" width="9.140625" style="1"/>
    <col min="9205" max="9205" width="5.140625" style="1" customWidth="1"/>
    <col min="9206" max="9206" width="33.5703125" style="1" customWidth="1"/>
    <col min="9207" max="9207" width="25.85546875" style="1" customWidth="1"/>
    <col min="9208" max="9208" width="0" style="1" hidden="1" customWidth="1"/>
    <col min="9209" max="9209" width="14.85546875" style="1" customWidth="1"/>
    <col min="9210" max="9210" width="13.85546875" style="1" customWidth="1"/>
    <col min="9211" max="9211" width="12.140625" style="1" customWidth="1"/>
    <col min="9212" max="9212" width="13.7109375" style="1" customWidth="1"/>
    <col min="9213" max="9213" width="8.5703125" style="1" customWidth="1"/>
    <col min="9214" max="9214" width="13" style="1" customWidth="1"/>
    <col min="9215" max="9215" width="9" style="1" customWidth="1"/>
    <col min="9216" max="9216" width="6.7109375" style="1" customWidth="1"/>
    <col min="9217" max="9217" width="9" style="1" customWidth="1"/>
    <col min="9218" max="9218" width="6.85546875" style="1" customWidth="1"/>
    <col min="9219" max="9219" width="10.5703125" style="1" customWidth="1"/>
    <col min="9220" max="9220" width="12.28515625" style="1" customWidth="1"/>
    <col min="9221" max="9221" width="12.5703125" style="1" customWidth="1"/>
    <col min="9222" max="9222" width="1.5703125" style="1" customWidth="1"/>
    <col min="9223" max="9223" width="45.140625" style="1" customWidth="1"/>
    <col min="9224" max="9224" width="13.140625" style="1" customWidth="1"/>
    <col min="9225" max="9225" width="10.28515625" style="1" bestFit="1" customWidth="1"/>
    <col min="9226" max="9226" width="16.28515625" style="1" bestFit="1" customWidth="1"/>
    <col min="9227" max="9227" width="11.28515625" style="1" bestFit="1" customWidth="1"/>
    <col min="9228" max="9460" width="9.140625" style="1"/>
    <col min="9461" max="9461" width="5.140625" style="1" customWidth="1"/>
    <col min="9462" max="9462" width="33.5703125" style="1" customWidth="1"/>
    <col min="9463" max="9463" width="25.85546875" style="1" customWidth="1"/>
    <col min="9464" max="9464" width="0" style="1" hidden="1" customWidth="1"/>
    <col min="9465" max="9465" width="14.85546875" style="1" customWidth="1"/>
    <col min="9466" max="9466" width="13.85546875" style="1" customWidth="1"/>
    <col min="9467" max="9467" width="12.140625" style="1" customWidth="1"/>
    <col min="9468" max="9468" width="13.7109375" style="1" customWidth="1"/>
    <col min="9469" max="9469" width="8.5703125" style="1" customWidth="1"/>
    <col min="9470" max="9470" width="13" style="1" customWidth="1"/>
    <col min="9471" max="9471" width="9" style="1" customWidth="1"/>
    <col min="9472" max="9472" width="6.7109375" style="1" customWidth="1"/>
    <col min="9473" max="9473" width="9" style="1" customWidth="1"/>
    <col min="9474" max="9474" width="6.85546875" style="1" customWidth="1"/>
    <col min="9475" max="9475" width="10.5703125" style="1" customWidth="1"/>
    <col min="9476" max="9476" width="12.28515625" style="1" customWidth="1"/>
    <col min="9477" max="9477" width="12.5703125" style="1" customWidth="1"/>
    <col min="9478" max="9478" width="1.5703125" style="1" customWidth="1"/>
    <col min="9479" max="9479" width="45.140625" style="1" customWidth="1"/>
    <col min="9480" max="9480" width="13.140625" style="1" customWidth="1"/>
    <col min="9481" max="9481" width="10.28515625" style="1" bestFit="1" customWidth="1"/>
    <col min="9482" max="9482" width="16.28515625" style="1" bestFit="1" customWidth="1"/>
    <col min="9483" max="9483" width="11.28515625" style="1" bestFit="1" customWidth="1"/>
    <col min="9484" max="9716" width="9.140625" style="1"/>
    <col min="9717" max="9717" width="5.140625" style="1" customWidth="1"/>
    <col min="9718" max="9718" width="33.5703125" style="1" customWidth="1"/>
    <col min="9719" max="9719" width="25.85546875" style="1" customWidth="1"/>
    <col min="9720" max="9720" width="0" style="1" hidden="1" customWidth="1"/>
    <col min="9721" max="9721" width="14.85546875" style="1" customWidth="1"/>
    <col min="9722" max="9722" width="13.85546875" style="1" customWidth="1"/>
    <col min="9723" max="9723" width="12.140625" style="1" customWidth="1"/>
    <col min="9724" max="9724" width="13.7109375" style="1" customWidth="1"/>
    <col min="9725" max="9725" width="8.5703125" style="1" customWidth="1"/>
    <col min="9726" max="9726" width="13" style="1" customWidth="1"/>
    <col min="9727" max="9727" width="9" style="1" customWidth="1"/>
    <col min="9728" max="9728" width="6.7109375" style="1" customWidth="1"/>
    <col min="9729" max="9729" width="9" style="1" customWidth="1"/>
    <col min="9730" max="9730" width="6.85546875" style="1" customWidth="1"/>
    <col min="9731" max="9731" width="10.5703125" style="1" customWidth="1"/>
    <col min="9732" max="9732" width="12.28515625" style="1" customWidth="1"/>
    <col min="9733" max="9733" width="12.5703125" style="1" customWidth="1"/>
    <col min="9734" max="9734" width="1.5703125" style="1" customWidth="1"/>
    <col min="9735" max="9735" width="45.140625" style="1" customWidth="1"/>
    <col min="9736" max="9736" width="13.140625" style="1" customWidth="1"/>
    <col min="9737" max="9737" width="10.28515625" style="1" bestFit="1" customWidth="1"/>
    <col min="9738" max="9738" width="16.28515625" style="1" bestFit="1" customWidth="1"/>
    <col min="9739" max="9739" width="11.28515625" style="1" bestFit="1" customWidth="1"/>
    <col min="9740" max="9972" width="9.140625" style="1"/>
    <col min="9973" max="9973" width="5.140625" style="1" customWidth="1"/>
    <col min="9974" max="9974" width="33.5703125" style="1" customWidth="1"/>
    <col min="9975" max="9975" width="25.85546875" style="1" customWidth="1"/>
    <col min="9976" max="9976" width="0" style="1" hidden="1" customWidth="1"/>
    <col min="9977" max="9977" width="14.85546875" style="1" customWidth="1"/>
    <col min="9978" max="9978" width="13.85546875" style="1" customWidth="1"/>
    <col min="9979" max="9979" width="12.140625" style="1" customWidth="1"/>
    <col min="9980" max="9980" width="13.7109375" style="1" customWidth="1"/>
    <col min="9981" max="9981" width="8.5703125" style="1" customWidth="1"/>
    <col min="9982" max="9982" width="13" style="1" customWidth="1"/>
    <col min="9983" max="9983" width="9" style="1" customWidth="1"/>
    <col min="9984" max="9984" width="6.7109375" style="1" customWidth="1"/>
    <col min="9985" max="9985" width="9" style="1" customWidth="1"/>
    <col min="9986" max="9986" width="6.85546875" style="1" customWidth="1"/>
    <col min="9987" max="9987" width="10.5703125" style="1" customWidth="1"/>
    <col min="9988" max="9988" width="12.28515625" style="1" customWidth="1"/>
    <col min="9989" max="9989" width="12.5703125" style="1" customWidth="1"/>
    <col min="9990" max="9990" width="1.5703125" style="1" customWidth="1"/>
    <col min="9991" max="9991" width="45.140625" style="1" customWidth="1"/>
    <col min="9992" max="9992" width="13.140625" style="1" customWidth="1"/>
    <col min="9993" max="9993" width="10.28515625" style="1" bestFit="1" customWidth="1"/>
    <col min="9994" max="9994" width="16.28515625" style="1" bestFit="1" customWidth="1"/>
    <col min="9995" max="9995" width="11.28515625" style="1" bestFit="1" customWidth="1"/>
    <col min="9996" max="10228" width="9.140625" style="1"/>
    <col min="10229" max="10229" width="5.140625" style="1" customWidth="1"/>
    <col min="10230" max="10230" width="33.5703125" style="1" customWidth="1"/>
    <col min="10231" max="10231" width="25.85546875" style="1" customWidth="1"/>
    <col min="10232" max="10232" width="0" style="1" hidden="1" customWidth="1"/>
    <col min="10233" max="10233" width="14.85546875" style="1" customWidth="1"/>
    <col min="10234" max="10234" width="13.85546875" style="1" customWidth="1"/>
    <col min="10235" max="10235" width="12.140625" style="1" customWidth="1"/>
    <col min="10236" max="10236" width="13.7109375" style="1" customWidth="1"/>
    <col min="10237" max="10237" width="8.5703125" style="1" customWidth="1"/>
    <col min="10238" max="10238" width="13" style="1" customWidth="1"/>
    <col min="10239" max="10239" width="9" style="1" customWidth="1"/>
    <col min="10240" max="10240" width="6.7109375" style="1" customWidth="1"/>
    <col min="10241" max="10241" width="9" style="1" customWidth="1"/>
    <col min="10242" max="10242" width="6.85546875" style="1" customWidth="1"/>
    <col min="10243" max="10243" width="10.5703125" style="1" customWidth="1"/>
    <col min="10244" max="10244" width="12.28515625" style="1" customWidth="1"/>
    <col min="10245" max="10245" width="12.5703125" style="1" customWidth="1"/>
    <col min="10246" max="10246" width="1.5703125" style="1" customWidth="1"/>
    <col min="10247" max="10247" width="45.140625" style="1" customWidth="1"/>
    <col min="10248" max="10248" width="13.140625" style="1" customWidth="1"/>
    <col min="10249" max="10249" width="10.28515625" style="1" bestFit="1" customWidth="1"/>
    <col min="10250" max="10250" width="16.28515625" style="1" bestFit="1" customWidth="1"/>
    <col min="10251" max="10251" width="11.28515625" style="1" bestFit="1" customWidth="1"/>
    <col min="10252" max="10484" width="9.140625" style="1"/>
    <col min="10485" max="10485" width="5.140625" style="1" customWidth="1"/>
    <col min="10486" max="10486" width="33.5703125" style="1" customWidth="1"/>
    <col min="10487" max="10487" width="25.85546875" style="1" customWidth="1"/>
    <col min="10488" max="10488" width="0" style="1" hidden="1" customWidth="1"/>
    <col min="10489" max="10489" width="14.85546875" style="1" customWidth="1"/>
    <col min="10490" max="10490" width="13.85546875" style="1" customWidth="1"/>
    <col min="10491" max="10491" width="12.140625" style="1" customWidth="1"/>
    <col min="10492" max="10492" width="13.7109375" style="1" customWidth="1"/>
    <col min="10493" max="10493" width="8.5703125" style="1" customWidth="1"/>
    <col min="10494" max="10494" width="13" style="1" customWidth="1"/>
    <col min="10495" max="10495" width="9" style="1" customWidth="1"/>
    <col min="10496" max="10496" width="6.7109375" style="1" customWidth="1"/>
    <col min="10497" max="10497" width="9" style="1" customWidth="1"/>
    <col min="10498" max="10498" width="6.85546875" style="1" customWidth="1"/>
    <col min="10499" max="10499" width="10.5703125" style="1" customWidth="1"/>
    <col min="10500" max="10500" width="12.28515625" style="1" customWidth="1"/>
    <col min="10501" max="10501" width="12.5703125" style="1" customWidth="1"/>
    <col min="10502" max="10502" width="1.5703125" style="1" customWidth="1"/>
    <col min="10503" max="10503" width="45.140625" style="1" customWidth="1"/>
    <col min="10504" max="10504" width="13.140625" style="1" customWidth="1"/>
    <col min="10505" max="10505" width="10.28515625" style="1" bestFit="1" customWidth="1"/>
    <col min="10506" max="10506" width="16.28515625" style="1" bestFit="1" customWidth="1"/>
    <col min="10507" max="10507" width="11.28515625" style="1" bestFit="1" customWidth="1"/>
    <col min="10508" max="10740" width="9.140625" style="1"/>
    <col min="10741" max="10741" width="5.140625" style="1" customWidth="1"/>
    <col min="10742" max="10742" width="33.5703125" style="1" customWidth="1"/>
    <col min="10743" max="10743" width="25.85546875" style="1" customWidth="1"/>
    <col min="10744" max="10744" width="0" style="1" hidden="1" customWidth="1"/>
    <col min="10745" max="10745" width="14.85546875" style="1" customWidth="1"/>
    <col min="10746" max="10746" width="13.85546875" style="1" customWidth="1"/>
    <col min="10747" max="10747" width="12.140625" style="1" customWidth="1"/>
    <col min="10748" max="10748" width="13.7109375" style="1" customWidth="1"/>
    <col min="10749" max="10749" width="8.5703125" style="1" customWidth="1"/>
    <col min="10750" max="10750" width="13" style="1" customWidth="1"/>
    <col min="10751" max="10751" width="9" style="1" customWidth="1"/>
    <col min="10752" max="10752" width="6.7109375" style="1" customWidth="1"/>
    <col min="10753" max="10753" width="9" style="1" customWidth="1"/>
    <col min="10754" max="10754" width="6.85546875" style="1" customWidth="1"/>
    <col min="10755" max="10755" width="10.5703125" style="1" customWidth="1"/>
    <col min="10756" max="10756" width="12.28515625" style="1" customWidth="1"/>
    <col min="10757" max="10757" width="12.5703125" style="1" customWidth="1"/>
    <col min="10758" max="10758" width="1.5703125" style="1" customWidth="1"/>
    <col min="10759" max="10759" width="45.140625" style="1" customWidth="1"/>
    <col min="10760" max="10760" width="13.140625" style="1" customWidth="1"/>
    <col min="10761" max="10761" width="10.28515625" style="1" bestFit="1" customWidth="1"/>
    <col min="10762" max="10762" width="16.28515625" style="1" bestFit="1" customWidth="1"/>
    <col min="10763" max="10763" width="11.28515625" style="1" bestFit="1" customWidth="1"/>
    <col min="10764" max="10996" width="9.140625" style="1"/>
    <col min="10997" max="10997" width="5.140625" style="1" customWidth="1"/>
    <col min="10998" max="10998" width="33.5703125" style="1" customWidth="1"/>
    <col min="10999" max="10999" width="25.85546875" style="1" customWidth="1"/>
    <col min="11000" max="11000" width="0" style="1" hidden="1" customWidth="1"/>
    <col min="11001" max="11001" width="14.85546875" style="1" customWidth="1"/>
    <col min="11002" max="11002" width="13.85546875" style="1" customWidth="1"/>
    <col min="11003" max="11003" width="12.140625" style="1" customWidth="1"/>
    <col min="11004" max="11004" width="13.7109375" style="1" customWidth="1"/>
    <col min="11005" max="11005" width="8.5703125" style="1" customWidth="1"/>
    <col min="11006" max="11006" width="13" style="1" customWidth="1"/>
    <col min="11007" max="11007" width="9" style="1" customWidth="1"/>
    <col min="11008" max="11008" width="6.7109375" style="1" customWidth="1"/>
    <col min="11009" max="11009" width="9" style="1" customWidth="1"/>
    <col min="11010" max="11010" width="6.85546875" style="1" customWidth="1"/>
    <col min="11011" max="11011" width="10.5703125" style="1" customWidth="1"/>
    <col min="11012" max="11012" width="12.28515625" style="1" customWidth="1"/>
    <col min="11013" max="11013" width="12.5703125" style="1" customWidth="1"/>
    <col min="11014" max="11014" width="1.5703125" style="1" customWidth="1"/>
    <col min="11015" max="11015" width="45.140625" style="1" customWidth="1"/>
    <col min="11016" max="11016" width="13.140625" style="1" customWidth="1"/>
    <col min="11017" max="11017" width="10.28515625" style="1" bestFit="1" customWidth="1"/>
    <col min="11018" max="11018" width="16.28515625" style="1" bestFit="1" customWidth="1"/>
    <col min="11019" max="11019" width="11.28515625" style="1" bestFit="1" customWidth="1"/>
    <col min="11020" max="11252" width="9.140625" style="1"/>
    <col min="11253" max="11253" width="5.140625" style="1" customWidth="1"/>
    <col min="11254" max="11254" width="33.5703125" style="1" customWidth="1"/>
    <col min="11255" max="11255" width="25.85546875" style="1" customWidth="1"/>
    <col min="11256" max="11256" width="0" style="1" hidden="1" customWidth="1"/>
    <col min="11257" max="11257" width="14.85546875" style="1" customWidth="1"/>
    <col min="11258" max="11258" width="13.85546875" style="1" customWidth="1"/>
    <col min="11259" max="11259" width="12.140625" style="1" customWidth="1"/>
    <col min="11260" max="11260" width="13.7109375" style="1" customWidth="1"/>
    <col min="11261" max="11261" width="8.5703125" style="1" customWidth="1"/>
    <col min="11262" max="11262" width="13" style="1" customWidth="1"/>
    <col min="11263" max="11263" width="9" style="1" customWidth="1"/>
    <col min="11264" max="11264" width="6.7109375" style="1" customWidth="1"/>
    <col min="11265" max="11265" width="9" style="1" customWidth="1"/>
    <col min="11266" max="11266" width="6.85546875" style="1" customWidth="1"/>
    <col min="11267" max="11267" width="10.5703125" style="1" customWidth="1"/>
    <col min="11268" max="11268" width="12.28515625" style="1" customWidth="1"/>
    <col min="11269" max="11269" width="12.5703125" style="1" customWidth="1"/>
    <col min="11270" max="11270" width="1.5703125" style="1" customWidth="1"/>
    <col min="11271" max="11271" width="45.140625" style="1" customWidth="1"/>
    <col min="11272" max="11272" width="13.140625" style="1" customWidth="1"/>
    <col min="11273" max="11273" width="10.28515625" style="1" bestFit="1" customWidth="1"/>
    <col min="11274" max="11274" width="16.28515625" style="1" bestFit="1" customWidth="1"/>
    <col min="11275" max="11275" width="11.28515625" style="1" bestFit="1" customWidth="1"/>
    <col min="11276" max="11508" width="9.140625" style="1"/>
    <col min="11509" max="11509" width="5.140625" style="1" customWidth="1"/>
    <col min="11510" max="11510" width="33.5703125" style="1" customWidth="1"/>
    <col min="11511" max="11511" width="25.85546875" style="1" customWidth="1"/>
    <col min="11512" max="11512" width="0" style="1" hidden="1" customWidth="1"/>
    <col min="11513" max="11513" width="14.85546875" style="1" customWidth="1"/>
    <col min="11514" max="11514" width="13.85546875" style="1" customWidth="1"/>
    <col min="11515" max="11515" width="12.140625" style="1" customWidth="1"/>
    <col min="11516" max="11516" width="13.7109375" style="1" customWidth="1"/>
    <col min="11517" max="11517" width="8.5703125" style="1" customWidth="1"/>
    <col min="11518" max="11518" width="13" style="1" customWidth="1"/>
    <col min="11519" max="11519" width="9" style="1" customWidth="1"/>
    <col min="11520" max="11520" width="6.7109375" style="1" customWidth="1"/>
    <col min="11521" max="11521" width="9" style="1" customWidth="1"/>
    <col min="11522" max="11522" width="6.85546875" style="1" customWidth="1"/>
    <col min="11523" max="11523" width="10.5703125" style="1" customWidth="1"/>
    <col min="11524" max="11524" width="12.28515625" style="1" customWidth="1"/>
    <col min="11525" max="11525" width="12.5703125" style="1" customWidth="1"/>
    <col min="11526" max="11526" width="1.5703125" style="1" customWidth="1"/>
    <col min="11527" max="11527" width="45.140625" style="1" customWidth="1"/>
    <col min="11528" max="11528" width="13.140625" style="1" customWidth="1"/>
    <col min="11529" max="11529" width="10.28515625" style="1" bestFit="1" customWidth="1"/>
    <col min="11530" max="11530" width="16.28515625" style="1" bestFit="1" customWidth="1"/>
    <col min="11531" max="11531" width="11.28515625" style="1" bestFit="1" customWidth="1"/>
    <col min="11532" max="11764" width="9.140625" style="1"/>
    <col min="11765" max="11765" width="5.140625" style="1" customWidth="1"/>
    <col min="11766" max="11766" width="33.5703125" style="1" customWidth="1"/>
    <col min="11767" max="11767" width="25.85546875" style="1" customWidth="1"/>
    <col min="11768" max="11768" width="0" style="1" hidden="1" customWidth="1"/>
    <col min="11769" max="11769" width="14.85546875" style="1" customWidth="1"/>
    <col min="11770" max="11770" width="13.85546875" style="1" customWidth="1"/>
    <col min="11771" max="11771" width="12.140625" style="1" customWidth="1"/>
    <col min="11772" max="11772" width="13.7109375" style="1" customWidth="1"/>
    <col min="11773" max="11773" width="8.5703125" style="1" customWidth="1"/>
    <col min="11774" max="11774" width="13" style="1" customWidth="1"/>
    <col min="11775" max="11775" width="9" style="1" customWidth="1"/>
    <col min="11776" max="11776" width="6.7109375" style="1" customWidth="1"/>
    <col min="11777" max="11777" width="9" style="1" customWidth="1"/>
    <col min="11778" max="11778" width="6.85546875" style="1" customWidth="1"/>
    <col min="11779" max="11779" width="10.5703125" style="1" customWidth="1"/>
    <col min="11780" max="11780" width="12.28515625" style="1" customWidth="1"/>
    <col min="11781" max="11781" width="12.5703125" style="1" customWidth="1"/>
    <col min="11782" max="11782" width="1.5703125" style="1" customWidth="1"/>
    <col min="11783" max="11783" width="45.140625" style="1" customWidth="1"/>
    <col min="11784" max="11784" width="13.140625" style="1" customWidth="1"/>
    <col min="11785" max="11785" width="10.28515625" style="1" bestFit="1" customWidth="1"/>
    <col min="11786" max="11786" width="16.28515625" style="1" bestFit="1" customWidth="1"/>
    <col min="11787" max="11787" width="11.28515625" style="1" bestFit="1" customWidth="1"/>
    <col min="11788" max="12020" width="9.140625" style="1"/>
    <col min="12021" max="12021" width="5.140625" style="1" customWidth="1"/>
    <col min="12022" max="12022" width="33.5703125" style="1" customWidth="1"/>
    <col min="12023" max="12023" width="25.85546875" style="1" customWidth="1"/>
    <col min="12024" max="12024" width="0" style="1" hidden="1" customWidth="1"/>
    <col min="12025" max="12025" width="14.85546875" style="1" customWidth="1"/>
    <col min="12026" max="12026" width="13.85546875" style="1" customWidth="1"/>
    <col min="12027" max="12027" width="12.140625" style="1" customWidth="1"/>
    <col min="12028" max="12028" width="13.7109375" style="1" customWidth="1"/>
    <col min="12029" max="12029" width="8.5703125" style="1" customWidth="1"/>
    <col min="12030" max="12030" width="13" style="1" customWidth="1"/>
    <col min="12031" max="12031" width="9" style="1" customWidth="1"/>
    <col min="12032" max="12032" width="6.7109375" style="1" customWidth="1"/>
    <col min="12033" max="12033" width="9" style="1" customWidth="1"/>
    <col min="12034" max="12034" width="6.85546875" style="1" customWidth="1"/>
    <col min="12035" max="12035" width="10.5703125" style="1" customWidth="1"/>
    <col min="12036" max="12036" width="12.28515625" style="1" customWidth="1"/>
    <col min="12037" max="12037" width="12.5703125" style="1" customWidth="1"/>
    <col min="12038" max="12038" width="1.5703125" style="1" customWidth="1"/>
    <col min="12039" max="12039" width="45.140625" style="1" customWidth="1"/>
    <col min="12040" max="12040" width="13.140625" style="1" customWidth="1"/>
    <col min="12041" max="12041" width="10.28515625" style="1" bestFit="1" customWidth="1"/>
    <col min="12042" max="12042" width="16.28515625" style="1" bestFit="1" customWidth="1"/>
    <col min="12043" max="12043" width="11.28515625" style="1" bestFit="1" customWidth="1"/>
    <col min="12044" max="12276" width="9.140625" style="1"/>
    <col min="12277" max="12277" width="5.140625" style="1" customWidth="1"/>
    <col min="12278" max="12278" width="33.5703125" style="1" customWidth="1"/>
    <col min="12279" max="12279" width="25.85546875" style="1" customWidth="1"/>
    <col min="12280" max="12280" width="0" style="1" hidden="1" customWidth="1"/>
    <col min="12281" max="12281" width="14.85546875" style="1" customWidth="1"/>
    <col min="12282" max="12282" width="13.85546875" style="1" customWidth="1"/>
    <col min="12283" max="12283" width="12.140625" style="1" customWidth="1"/>
    <col min="12284" max="12284" width="13.7109375" style="1" customWidth="1"/>
    <col min="12285" max="12285" width="8.5703125" style="1" customWidth="1"/>
    <col min="12286" max="12286" width="13" style="1" customWidth="1"/>
    <col min="12287" max="12287" width="9" style="1" customWidth="1"/>
    <col min="12288" max="12288" width="6.7109375" style="1" customWidth="1"/>
    <col min="12289" max="12289" width="9" style="1" customWidth="1"/>
    <col min="12290" max="12290" width="6.85546875" style="1" customWidth="1"/>
    <col min="12291" max="12291" width="10.5703125" style="1" customWidth="1"/>
    <col min="12292" max="12292" width="12.28515625" style="1" customWidth="1"/>
    <col min="12293" max="12293" width="12.5703125" style="1" customWidth="1"/>
    <col min="12294" max="12294" width="1.5703125" style="1" customWidth="1"/>
    <col min="12295" max="12295" width="45.140625" style="1" customWidth="1"/>
    <col min="12296" max="12296" width="13.140625" style="1" customWidth="1"/>
    <col min="12297" max="12297" width="10.28515625" style="1" bestFit="1" customWidth="1"/>
    <col min="12298" max="12298" width="16.28515625" style="1" bestFit="1" customWidth="1"/>
    <col min="12299" max="12299" width="11.28515625" style="1" bestFit="1" customWidth="1"/>
    <col min="12300" max="12532" width="9.140625" style="1"/>
    <col min="12533" max="12533" width="5.140625" style="1" customWidth="1"/>
    <col min="12534" max="12534" width="33.5703125" style="1" customWidth="1"/>
    <col min="12535" max="12535" width="25.85546875" style="1" customWidth="1"/>
    <col min="12536" max="12536" width="0" style="1" hidden="1" customWidth="1"/>
    <col min="12537" max="12537" width="14.85546875" style="1" customWidth="1"/>
    <col min="12538" max="12538" width="13.85546875" style="1" customWidth="1"/>
    <col min="12539" max="12539" width="12.140625" style="1" customWidth="1"/>
    <col min="12540" max="12540" width="13.7109375" style="1" customWidth="1"/>
    <col min="12541" max="12541" width="8.5703125" style="1" customWidth="1"/>
    <col min="12542" max="12542" width="13" style="1" customWidth="1"/>
    <col min="12543" max="12543" width="9" style="1" customWidth="1"/>
    <col min="12544" max="12544" width="6.7109375" style="1" customWidth="1"/>
    <col min="12545" max="12545" width="9" style="1" customWidth="1"/>
    <col min="12546" max="12546" width="6.85546875" style="1" customWidth="1"/>
    <col min="12547" max="12547" width="10.5703125" style="1" customWidth="1"/>
    <col min="12548" max="12548" width="12.28515625" style="1" customWidth="1"/>
    <col min="12549" max="12549" width="12.5703125" style="1" customWidth="1"/>
    <col min="12550" max="12550" width="1.5703125" style="1" customWidth="1"/>
    <col min="12551" max="12551" width="45.140625" style="1" customWidth="1"/>
    <col min="12552" max="12552" width="13.140625" style="1" customWidth="1"/>
    <col min="12553" max="12553" width="10.28515625" style="1" bestFit="1" customWidth="1"/>
    <col min="12554" max="12554" width="16.28515625" style="1" bestFit="1" customWidth="1"/>
    <col min="12555" max="12555" width="11.28515625" style="1" bestFit="1" customWidth="1"/>
    <col min="12556" max="12788" width="9.140625" style="1"/>
    <col min="12789" max="12789" width="5.140625" style="1" customWidth="1"/>
    <col min="12790" max="12790" width="33.5703125" style="1" customWidth="1"/>
    <col min="12791" max="12791" width="25.85546875" style="1" customWidth="1"/>
    <col min="12792" max="12792" width="0" style="1" hidden="1" customWidth="1"/>
    <col min="12793" max="12793" width="14.85546875" style="1" customWidth="1"/>
    <col min="12794" max="12794" width="13.85546875" style="1" customWidth="1"/>
    <col min="12795" max="12795" width="12.140625" style="1" customWidth="1"/>
    <col min="12796" max="12796" width="13.7109375" style="1" customWidth="1"/>
    <col min="12797" max="12797" width="8.5703125" style="1" customWidth="1"/>
    <col min="12798" max="12798" width="13" style="1" customWidth="1"/>
    <col min="12799" max="12799" width="9" style="1" customWidth="1"/>
    <col min="12800" max="12800" width="6.7109375" style="1" customWidth="1"/>
    <col min="12801" max="12801" width="9" style="1" customWidth="1"/>
    <col min="12802" max="12802" width="6.85546875" style="1" customWidth="1"/>
    <col min="12803" max="12803" width="10.5703125" style="1" customWidth="1"/>
    <col min="12804" max="12804" width="12.28515625" style="1" customWidth="1"/>
    <col min="12805" max="12805" width="12.5703125" style="1" customWidth="1"/>
    <col min="12806" max="12806" width="1.5703125" style="1" customWidth="1"/>
    <col min="12807" max="12807" width="45.140625" style="1" customWidth="1"/>
    <col min="12808" max="12808" width="13.140625" style="1" customWidth="1"/>
    <col min="12809" max="12809" width="10.28515625" style="1" bestFit="1" customWidth="1"/>
    <col min="12810" max="12810" width="16.28515625" style="1" bestFit="1" customWidth="1"/>
    <col min="12811" max="12811" width="11.28515625" style="1" bestFit="1" customWidth="1"/>
    <col min="12812" max="13044" width="9.140625" style="1"/>
    <col min="13045" max="13045" width="5.140625" style="1" customWidth="1"/>
    <col min="13046" max="13046" width="33.5703125" style="1" customWidth="1"/>
    <col min="13047" max="13047" width="25.85546875" style="1" customWidth="1"/>
    <col min="13048" max="13048" width="0" style="1" hidden="1" customWidth="1"/>
    <col min="13049" max="13049" width="14.85546875" style="1" customWidth="1"/>
    <col min="13050" max="13050" width="13.85546875" style="1" customWidth="1"/>
    <col min="13051" max="13051" width="12.140625" style="1" customWidth="1"/>
    <col min="13052" max="13052" width="13.7109375" style="1" customWidth="1"/>
    <col min="13053" max="13053" width="8.5703125" style="1" customWidth="1"/>
    <col min="13054" max="13054" width="13" style="1" customWidth="1"/>
    <col min="13055" max="13055" width="9" style="1" customWidth="1"/>
    <col min="13056" max="13056" width="6.7109375" style="1" customWidth="1"/>
    <col min="13057" max="13057" width="9" style="1" customWidth="1"/>
    <col min="13058" max="13058" width="6.85546875" style="1" customWidth="1"/>
    <col min="13059" max="13059" width="10.5703125" style="1" customWidth="1"/>
    <col min="13060" max="13060" width="12.28515625" style="1" customWidth="1"/>
    <col min="13061" max="13061" width="12.5703125" style="1" customWidth="1"/>
    <col min="13062" max="13062" width="1.5703125" style="1" customWidth="1"/>
    <col min="13063" max="13063" width="45.140625" style="1" customWidth="1"/>
    <col min="13064" max="13064" width="13.140625" style="1" customWidth="1"/>
    <col min="13065" max="13065" width="10.28515625" style="1" bestFit="1" customWidth="1"/>
    <col min="13066" max="13066" width="16.28515625" style="1" bestFit="1" customWidth="1"/>
    <col min="13067" max="13067" width="11.28515625" style="1" bestFit="1" customWidth="1"/>
    <col min="13068" max="13300" width="9.140625" style="1"/>
    <col min="13301" max="13301" width="5.140625" style="1" customWidth="1"/>
    <col min="13302" max="13302" width="33.5703125" style="1" customWidth="1"/>
    <col min="13303" max="13303" width="25.85546875" style="1" customWidth="1"/>
    <col min="13304" max="13304" width="0" style="1" hidden="1" customWidth="1"/>
    <col min="13305" max="13305" width="14.85546875" style="1" customWidth="1"/>
    <col min="13306" max="13306" width="13.85546875" style="1" customWidth="1"/>
    <col min="13307" max="13307" width="12.140625" style="1" customWidth="1"/>
    <col min="13308" max="13308" width="13.7109375" style="1" customWidth="1"/>
    <col min="13309" max="13309" width="8.5703125" style="1" customWidth="1"/>
    <col min="13310" max="13310" width="13" style="1" customWidth="1"/>
    <col min="13311" max="13311" width="9" style="1" customWidth="1"/>
    <col min="13312" max="13312" width="6.7109375" style="1" customWidth="1"/>
    <col min="13313" max="13313" width="9" style="1" customWidth="1"/>
    <col min="13314" max="13314" width="6.85546875" style="1" customWidth="1"/>
    <col min="13315" max="13315" width="10.5703125" style="1" customWidth="1"/>
    <col min="13316" max="13316" width="12.28515625" style="1" customWidth="1"/>
    <col min="13317" max="13317" width="12.5703125" style="1" customWidth="1"/>
    <col min="13318" max="13318" width="1.5703125" style="1" customWidth="1"/>
    <col min="13319" max="13319" width="45.140625" style="1" customWidth="1"/>
    <col min="13320" max="13320" width="13.140625" style="1" customWidth="1"/>
    <col min="13321" max="13321" width="10.28515625" style="1" bestFit="1" customWidth="1"/>
    <col min="13322" max="13322" width="16.28515625" style="1" bestFit="1" customWidth="1"/>
    <col min="13323" max="13323" width="11.28515625" style="1" bestFit="1" customWidth="1"/>
    <col min="13324" max="13556" width="9.140625" style="1"/>
    <col min="13557" max="13557" width="5.140625" style="1" customWidth="1"/>
    <col min="13558" max="13558" width="33.5703125" style="1" customWidth="1"/>
    <col min="13559" max="13559" width="25.85546875" style="1" customWidth="1"/>
    <col min="13560" max="13560" width="0" style="1" hidden="1" customWidth="1"/>
    <col min="13561" max="13561" width="14.85546875" style="1" customWidth="1"/>
    <col min="13562" max="13562" width="13.85546875" style="1" customWidth="1"/>
    <col min="13563" max="13563" width="12.140625" style="1" customWidth="1"/>
    <col min="13564" max="13564" width="13.7109375" style="1" customWidth="1"/>
    <col min="13565" max="13565" width="8.5703125" style="1" customWidth="1"/>
    <col min="13566" max="13566" width="13" style="1" customWidth="1"/>
    <col min="13567" max="13567" width="9" style="1" customWidth="1"/>
    <col min="13568" max="13568" width="6.7109375" style="1" customWidth="1"/>
    <col min="13569" max="13569" width="9" style="1" customWidth="1"/>
    <col min="13570" max="13570" width="6.85546875" style="1" customWidth="1"/>
    <col min="13571" max="13571" width="10.5703125" style="1" customWidth="1"/>
    <col min="13572" max="13572" width="12.28515625" style="1" customWidth="1"/>
    <col min="13573" max="13573" width="12.5703125" style="1" customWidth="1"/>
    <col min="13574" max="13574" width="1.5703125" style="1" customWidth="1"/>
    <col min="13575" max="13575" width="45.140625" style="1" customWidth="1"/>
    <col min="13576" max="13576" width="13.140625" style="1" customWidth="1"/>
    <col min="13577" max="13577" width="10.28515625" style="1" bestFit="1" customWidth="1"/>
    <col min="13578" max="13578" width="16.28515625" style="1" bestFit="1" customWidth="1"/>
    <col min="13579" max="13579" width="11.28515625" style="1" bestFit="1" customWidth="1"/>
    <col min="13580" max="13812" width="9.140625" style="1"/>
    <col min="13813" max="13813" width="5.140625" style="1" customWidth="1"/>
    <col min="13814" max="13814" width="33.5703125" style="1" customWidth="1"/>
    <col min="13815" max="13815" width="25.85546875" style="1" customWidth="1"/>
    <col min="13816" max="13816" width="0" style="1" hidden="1" customWidth="1"/>
    <col min="13817" max="13817" width="14.85546875" style="1" customWidth="1"/>
    <col min="13818" max="13818" width="13.85546875" style="1" customWidth="1"/>
    <col min="13819" max="13819" width="12.140625" style="1" customWidth="1"/>
    <col min="13820" max="13820" width="13.7109375" style="1" customWidth="1"/>
    <col min="13821" max="13821" width="8.5703125" style="1" customWidth="1"/>
    <col min="13822" max="13822" width="13" style="1" customWidth="1"/>
    <col min="13823" max="13823" width="9" style="1" customWidth="1"/>
    <col min="13824" max="13824" width="6.7109375" style="1" customWidth="1"/>
    <col min="13825" max="13825" width="9" style="1" customWidth="1"/>
    <col min="13826" max="13826" width="6.85546875" style="1" customWidth="1"/>
    <col min="13827" max="13827" width="10.5703125" style="1" customWidth="1"/>
    <col min="13828" max="13828" width="12.28515625" style="1" customWidth="1"/>
    <col min="13829" max="13829" width="12.5703125" style="1" customWidth="1"/>
    <col min="13830" max="13830" width="1.5703125" style="1" customWidth="1"/>
    <col min="13831" max="13831" width="45.140625" style="1" customWidth="1"/>
    <col min="13832" max="13832" width="13.140625" style="1" customWidth="1"/>
    <col min="13833" max="13833" width="10.28515625" style="1" bestFit="1" customWidth="1"/>
    <col min="13834" max="13834" width="16.28515625" style="1" bestFit="1" customWidth="1"/>
    <col min="13835" max="13835" width="11.28515625" style="1" bestFit="1" customWidth="1"/>
    <col min="13836" max="14068" width="9.140625" style="1"/>
    <col min="14069" max="14069" width="5.140625" style="1" customWidth="1"/>
    <col min="14070" max="14070" width="33.5703125" style="1" customWidth="1"/>
    <col min="14071" max="14071" width="25.85546875" style="1" customWidth="1"/>
    <col min="14072" max="14072" width="0" style="1" hidden="1" customWidth="1"/>
    <col min="14073" max="14073" width="14.85546875" style="1" customWidth="1"/>
    <col min="14074" max="14074" width="13.85546875" style="1" customWidth="1"/>
    <col min="14075" max="14075" width="12.140625" style="1" customWidth="1"/>
    <col min="14076" max="14076" width="13.7109375" style="1" customWidth="1"/>
    <col min="14077" max="14077" width="8.5703125" style="1" customWidth="1"/>
    <col min="14078" max="14078" width="13" style="1" customWidth="1"/>
    <col min="14079" max="14079" width="9" style="1" customWidth="1"/>
    <col min="14080" max="14080" width="6.7109375" style="1" customWidth="1"/>
    <col min="14081" max="14081" width="9" style="1" customWidth="1"/>
    <col min="14082" max="14082" width="6.85546875" style="1" customWidth="1"/>
    <col min="14083" max="14083" width="10.5703125" style="1" customWidth="1"/>
    <col min="14084" max="14084" width="12.28515625" style="1" customWidth="1"/>
    <col min="14085" max="14085" width="12.5703125" style="1" customWidth="1"/>
    <col min="14086" max="14086" width="1.5703125" style="1" customWidth="1"/>
    <col min="14087" max="14087" width="45.140625" style="1" customWidth="1"/>
    <col min="14088" max="14088" width="13.140625" style="1" customWidth="1"/>
    <col min="14089" max="14089" width="10.28515625" style="1" bestFit="1" customWidth="1"/>
    <col min="14090" max="14090" width="16.28515625" style="1" bestFit="1" customWidth="1"/>
    <col min="14091" max="14091" width="11.28515625" style="1" bestFit="1" customWidth="1"/>
    <col min="14092" max="14324" width="9.140625" style="1"/>
    <col min="14325" max="14325" width="5.140625" style="1" customWidth="1"/>
    <col min="14326" max="14326" width="33.5703125" style="1" customWidth="1"/>
    <col min="14327" max="14327" width="25.85546875" style="1" customWidth="1"/>
    <col min="14328" max="14328" width="0" style="1" hidden="1" customWidth="1"/>
    <col min="14329" max="14329" width="14.85546875" style="1" customWidth="1"/>
    <col min="14330" max="14330" width="13.85546875" style="1" customWidth="1"/>
    <col min="14331" max="14331" width="12.140625" style="1" customWidth="1"/>
    <col min="14332" max="14332" width="13.7109375" style="1" customWidth="1"/>
    <col min="14333" max="14333" width="8.5703125" style="1" customWidth="1"/>
    <col min="14334" max="14334" width="13" style="1" customWidth="1"/>
    <col min="14335" max="14335" width="9" style="1" customWidth="1"/>
    <col min="14336" max="14336" width="6.7109375" style="1" customWidth="1"/>
    <col min="14337" max="14337" width="9" style="1" customWidth="1"/>
    <col min="14338" max="14338" width="6.85546875" style="1" customWidth="1"/>
    <col min="14339" max="14339" width="10.5703125" style="1" customWidth="1"/>
    <col min="14340" max="14340" width="12.28515625" style="1" customWidth="1"/>
    <col min="14341" max="14341" width="12.5703125" style="1" customWidth="1"/>
    <col min="14342" max="14342" width="1.5703125" style="1" customWidth="1"/>
    <col min="14343" max="14343" width="45.140625" style="1" customWidth="1"/>
    <col min="14344" max="14344" width="13.140625" style="1" customWidth="1"/>
    <col min="14345" max="14345" width="10.28515625" style="1" bestFit="1" customWidth="1"/>
    <col min="14346" max="14346" width="16.28515625" style="1" bestFit="1" customWidth="1"/>
    <col min="14347" max="14347" width="11.28515625" style="1" bestFit="1" customWidth="1"/>
    <col min="14348" max="14580" width="9.140625" style="1"/>
    <col min="14581" max="14581" width="5.140625" style="1" customWidth="1"/>
    <col min="14582" max="14582" width="33.5703125" style="1" customWidth="1"/>
    <col min="14583" max="14583" width="25.85546875" style="1" customWidth="1"/>
    <col min="14584" max="14584" width="0" style="1" hidden="1" customWidth="1"/>
    <col min="14585" max="14585" width="14.85546875" style="1" customWidth="1"/>
    <col min="14586" max="14586" width="13.85546875" style="1" customWidth="1"/>
    <col min="14587" max="14587" width="12.140625" style="1" customWidth="1"/>
    <col min="14588" max="14588" width="13.7109375" style="1" customWidth="1"/>
    <col min="14589" max="14589" width="8.5703125" style="1" customWidth="1"/>
    <col min="14590" max="14590" width="13" style="1" customWidth="1"/>
    <col min="14591" max="14591" width="9" style="1" customWidth="1"/>
    <col min="14592" max="14592" width="6.7109375" style="1" customWidth="1"/>
    <col min="14593" max="14593" width="9" style="1" customWidth="1"/>
    <col min="14594" max="14594" width="6.85546875" style="1" customWidth="1"/>
    <col min="14595" max="14595" width="10.5703125" style="1" customWidth="1"/>
    <col min="14596" max="14596" width="12.28515625" style="1" customWidth="1"/>
    <col min="14597" max="14597" width="12.5703125" style="1" customWidth="1"/>
    <col min="14598" max="14598" width="1.5703125" style="1" customWidth="1"/>
    <col min="14599" max="14599" width="45.140625" style="1" customWidth="1"/>
    <col min="14600" max="14600" width="13.140625" style="1" customWidth="1"/>
    <col min="14601" max="14601" width="10.28515625" style="1" bestFit="1" customWidth="1"/>
    <col min="14602" max="14602" width="16.28515625" style="1" bestFit="1" customWidth="1"/>
    <col min="14603" max="14603" width="11.28515625" style="1" bestFit="1" customWidth="1"/>
    <col min="14604" max="14836" width="9.140625" style="1"/>
    <col min="14837" max="14837" width="5.140625" style="1" customWidth="1"/>
    <col min="14838" max="14838" width="33.5703125" style="1" customWidth="1"/>
    <col min="14839" max="14839" width="25.85546875" style="1" customWidth="1"/>
    <col min="14840" max="14840" width="0" style="1" hidden="1" customWidth="1"/>
    <col min="14841" max="14841" width="14.85546875" style="1" customWidth="1"/>
    <col min="14842" max="14842" width="13.85546875" style="1" customWidth="1"/>
    <col min="14843" max="14843" width="12.140625" style="1" customWidth="1"/>
    <col min="14844" max="14844" width="13.7109375" style="1" customWidth="1"/>
    <col min="14845" max="14845" width="8.5703125" style="1" customWidth="1"/>
    <col min="14846" max="14846" width="13" style="1" customWidth="1"/>
    <col min="14847" max="14847" width="9" style="1" customWidth="1"/>
    <col min="14848" max="14848" width="6.7109375" style="1" customWidth="1"/>
    <col min="14849" max="14849" width="9" style="1" customWidth="1"/>
    <col min="14850" max="14850" width="6.85546875" style="1" customWidth="1"/>
    <col min="14851" max="14851" width="10.5703125" style="1" customWidth="1"/>
    <col min="14852" max="14852" width="12.28515625" style="1" customWidth="1"/>
    <col min="14853" max="14853" width="12.5703125" style="1" customWidth="1"/>
    <col min="14854" max="14854" width="1.5703125" style="1" customWidth="1"/>
    <col min="14855" max="14855" width="45.140625" style="1" customWidth="1"/>
    <col min="14856" max="14856" width="13.140625" style="1" customWidth="1"/>
    <col min="14857" max="14857" width="10.28515625" style="1" bestFit="1" customWidth="1"/>
    <col min="14858" max="14858" width="16.28515625" style="1" bestFit="1" customWidth="1"/>
    <col min="14859" max="14859" width="11.28515625" style="1" bestFit="1" customWidth="1"/>
    <col min="14860" max="15092" width="9.140625" style="1"/>
    <col min="15093" max="15093" width="5.140625" style="1" customWidth="1"/>
    <col min="15094" max="15094" width="33.5703125" style="1" customWidth="1"/>
    <col min="15095" max="15095" width="25.85546875" style="1" customWidth="1"/>
    <col min="15096" max="15096" width="0" style="1" hidden="1" customWidth="1"/>
    <col min="15097" max="15097" width="14.85546875" style="1" customWidth="1"/>
    <col min="15098" max="15098" width="13.85546875" style="1" customWidth="1"/>
    <col min="15099" max="15099" width="12.140625" style="1" customWidth="1"/>
    <col min="15100" max="15100" width="13.7109375" style="1" customWidth="1"/>
    <col min="15101" max="15101" width="8.5703125" style="1" customWidth="1"/>
    <col min="15102" max="15102" width="13" style="1" customWidth="1"/>
    <col min="15103" max="15103" width="9" style="1" customWidth="1"/>
    <col min="15104" max="15104" width="6.7109375" style="1" customWidth="1"/>
    <col min="15105" max="15105" width="9" style="1" customWidth="1"/>
    <col min="15106" max="15106" width="6.85546875" style="1" customWidth="1"/>
    <col min="15107" max="15107" width="10.5703125" style="1" customWidth="1"/>
    <col min="15108" max="15108" width="12.28515625" style="1" customWidth="1"/>
    <col min="15109" max="15109" width="12.5703125" style="1" customWidth="1"/>
    <col min="15110" max="15110" width="1.5703125" style="1" customWidth="1"/>
    <col min="15111" max="15111" width="45.140625" style="1" customWidth="1"/>
    <col min="15112" max="15112" width="13.140625" style="1" customWidth="1"/>
    <col min="15113" max="15113" width="10.28515625" style="1" bestFit="1" customWidth="1"/>
    <col min="15114" max="15114" width="16.28515625" style="1" bestFit="1" customWidth="1"/>
    <col min="15115" max="15115" width="11.28515625" style="1" bestFit="1" customWidth="1"/>
    <col min="15116" max="15348" width="9.140625" style="1"/>
    <col min="15349" max="15349" width="5.140625" style="1" customWidth="1"/>
    <col min="15350" max="15350" width="33.5703125" style="1" customWidth="1"/>
    <col min="15351" max="15351" width="25.85546875" style="1" customWidth="1"/>
    <col min="15352" max="15352" width="0" style="1" hidden="1" customWidth="1"/>
    <col min="15353" max="15353" width="14.85546875" style="1" customWidth="1"/>
    <col min="15354" max="15354" width="13.85546875" style="1" customWidth="1"/>
    <col min="15355" max="15355" width="12.140625" style="1" customWidth="1"/>
    <col min="15356" max="15356" width="13.7109375" style="1" customWidth="1"/>
    <col min="15357" max="15357" width="8.5703125" style="1" customWidth="1"/>
    <col min="15358" max="15358" width="13" style="1" customWidth="1"/>
    <col min="15359" max="15359" width="9" style="1" customWidth="1"/>
    <col min="15360" max="15360" width="6.7109375" style="1" customWidth="1"/>
    <col min="15361" max="15361" width="9" style="1" customWidth="1"/>
    <col min="15362" max="15362" width="6.85546875" style="1" customWidth="1"/>
    <col min="15363" max="15363" width="10.5703125" style="1" customWidth="1"/>
    <col min="15364" max="15364" width="12.28515625" style="1" customWidth="1"/>
    <col min="15365" max="15365" width="12.5703125" style="1" customWidth="1"/>
    <col min="15366" max="15366" width="1.5703125" style="1" customWidth="1"/>
    <col min="15367" max="15367" width="45.140625" style="1" customWidth="1"/>
    <col min="15368" max="15368" width="13.140625" style="1" customWidth="1"/>
    <col min="15369" max="15369" width="10.28515625" style="1" bestFit="1" customWidth="1"/>
    <col min="15370" max="15370" width="16.28515625" style="1" bestFit="1" customWidth="1"/>
    <col min="15371" max="15371" width="11.28515625" style="1" bestFit="1" customWidth="1"/>
    <col min="15372" max="15604" width="9.140625" style="1"/>
    <col min="15605" max="15605" width="5.140625" style="1" customWidth="1"/>
    <col min="15606" max="15606" width="33.5703125" style="1" customWidth="1"/>
    <col min="15607" max="15607" width="25.85546875" style="1" customWidth="1"/>
    <col min="15608" max="15608" width="0" style="1" hidden="1" customWidth="1"/>
    <col min="15609" max="15609" width="14.85546875" style="1" customWidth="1"/>
    <col min="15610" max="15610" width="13.85546875" style="1" customWidth="1"/>
    <col min="15611" max="15611" width="12.140625" style="1" customWidth="1"/>
    <col min="15612" max="15612" width="13.7109375" style="1" customWidth="1"/>
    <col min="15613" max="15613" width="8.5703125" style="1" customWidth="1"/>
    <col min="15614" max="15614" width="13" style="1" customWidth="1"/>
    <col min="15615" max="15615" width="9" style="1" customWidth="1"/>
    <col min="15616" max="15616" width="6.7109375" style="1" customWidth="1"/>
    <col min="15617" max="15617" width="9" style="1" customWidth="1"/>
    <col min="15618" max="15618" width="6.85546875" style="1" customWidth="1"/>
    <col min="15619" max="15619" width="10.5703125" style="1" customWidth="1"/>
    <col min="15620" max="15620" width="12.28515625" style="1" customWidth="1"/>
    <col min="15621" max="15621" width="12.5703125" style="1" customWidth="1"/>
    <col min="15622" max="15622" width="1.5703125" style="1" customWidth="1"/>
    <col min="15623" max="15623" width="45.140625" style="1" customWidth="1"/>
    <col min="15624" max="15624" width="13.140625" style="1" customWidth="1"/>
    <col min="15625" max="15625" width="10.28515625" style="1" bestFit="1" customWidth="1"/>
    <col min="15626" max="15626" width="16.28515625" style="1" bestFit="1" customWidth="1"/>
    <col min="15627" max="15627" width="11.28515625" style="1" bestFit="1" customWidth="1"/>
    <col min="15628" max="15860" width="9.140625" style="1"/>
    <col min="15861" max="15861" width="5.140625" style="1" customWidth="1"/>
    <col min="15862" max="15862" width="33.5703125" style="1" customWidth="1"/>
    <col min="15863" max="15863" width="25.85546875" style="1" customWidth="1"/>
    <col min="15864" max="15864" width="0" style="1" hidden="1" customWidth="1"/>
    <col min="15865" max="15865" width="14.85546875" style="1" customWidth="1"/>
    <col min="15866" max="15866" width="13.85546875" style="1" customWidth="1"/>
    <col min="15867" max="15867" width="12.140625" style="1" customWidth="1"/>
    <col min="15868" max="15868" width="13.7109375" style="1" customWidth="1"/>
    <col min="15869" max="15869" width="8.5703125" style="1" customWidth="1"/>
    <col min="15870" max="15870" width="13" style="1" customWidth="1"/>
    <col min="15871" max="15871" width="9" style="1" customWidth="1"/>
    <col min="15872" max="15872" width="6.7109375" style="1" customWidth="1"/>
    <col min="15873" max="15873" width="9" style="1" customWidth="1"/>
    <col min="15874" max="15874" width="6.85546875" style="1" customWidth="1"/>
    <col min="15875" max="15875" width="10.5703125" style="1" customWidth="1"/>
    <col min="15876" max="15876" width="12.28515625" style="1" customWidth="1"/>
    <col min="15877" max="15877" width="12.5703125" style="1" customWidth="1"/>
    <col min="15878" max="15878" width="1.5703125" style="1" customWidth="1"/>
    <col min="15879" max="15879" width="45.140625" style="1" customWidth="1"/>
    <col min="15880" max="15880" width="13.140625" style="1" customWidth="1"/>
    <col min="15881" max="15881" width="10.28515625" style="1" bestFit="1" customWidth="1"/>
    <col min="15882" max="15882" width="16.28515625" style="1" bestFit="1" customWidth="1"/>
    <col min="15883" max="15883" width="11.28515625" style="1" bestFit="1" customWidth="1"/>
    <col min="15884" max="16116" width="9.140625" style="1"/>
    <col min="16117" max="16117" width="5.140625" style="1" customWidth="1"/>
    <col min="16118" max="16118" width="33.5703125" style="1" customWidth="1"/>
    <col min="16119" max="16119" width="25.85546875" style="1" customWidth="1"/>
    <col min="16120" max="16120" width="0" style="1" hidden="1" customWidth="1"/>
    <col min="16121" max="16121" width="14.85546875" style="1" customWidth="1"/>
    <col min="16122" max="16122" width="13.85546875" style="1" customWidth="1"/>
    <col min="16123" max="16123" width="12.140625" style="1" customWidth="1"/>
    <col min="16124" max="16124" width="13.7109375" style="1" customWidth="1"/>
    <col min="16125" max="16125" width="8.5703125" style="1" customWidth="1"/>
    <col min="16126" max="16126" width="13" style="1" customWidth="1"/>
    <col min="16127" max="16127" width="9" style="1" customWidth="1"/>
    <col min="16128" max="16128" width="6.7109375" style="1" customWidth="1"/>
    <col min="16129" max="16129" width="9" style="1" customWidth="1"/>
    <col min="16130" max="16130" width="6.85546875" style="1" customWidth="1"/>
    <col min="16131" max="16131" width="10.5703125" style="1" customWidth="1"/>
    <col min="16132" max="16132" width="12.28515625" style="1" customWidth="1"/>
    <col min="16133" max="16133" width="12.5703125" style="1" customWidth="1"/>
    <col min="16134" max="16134" width="1.5703125" style="1" customWidth="1"/>
    <col min="16135" max="16135" width="45.140625" style="1" customWidth="1"/>
    <col min="16136" max="16136" width="13.140625" style="1" customWidth="1"/>
    <col min="16137" max="16137" width="10.28515625" style="1" bestFit="1" customWidth="1"/>
    <col min="16138" max="16138" width="16.28515625" style="1" bestFit="1" customWidth="1"/>
    <col min="16139" max="16139" width="11.28515625" style="1" bestFit="1" customWidth="1"/>
    <col min="16140" max="16384" width="9.140625" style="1"/>
  </cols>
  <sheetData>
    <row r="1" spans="1:30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</row>
    <row r="2" spans="1:30" x14ac:dyDescent="0.25">
      <c r="A2" s="308" t="s">
        <v>100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0" s="12" customFormat="1" ht="63" x14ac:dyDescent="0.25">
      <c r="A3" s="214" t="s">
        <v>2</v>
      </c>
      <c r="B3" s="215" t="s">
        <v>3</v>
      </c>
      <c r="C3" s="216" t="s">
        <v>4</v>
      </c>
      <c r="D3" s="217" t="s">
        <v>5</v>
      </c>
      <c r="E3" s="218"/>
      <c r="F3" s="218"/>
      <c r="G3" s="218"/>
      <c r="H3" s="218"/>
      <c r="I3" s="218"/>
      <c r="J3" s="219" t="s">
        <v>6</v>
      </c>
      <c r="K3" s="219" t="s">
        <v>7</v>
      </c>
      <c r="L3" s="220"/>
      <c r="M3" s="220"/>
      <c r="N3" s="309" t="s">
        <v>8</v>
      </c>
      <c r="O3" s="309"/>
      <c r="P3" s="309"/>
      <c r="Q3" s="217" t="s">
        <v>9</v>
      </c>
      <c r="R3" s="217" t="s">
        <v>10</v>
      </c>
      <c r="S3" s="217"/>
      <c r="T3" s="217" t="s">
        <v>11</v>
      </c>
      <c r="U3" s="217" t="s">
        <v>12</v>
      </c>
      <c r="V3" s="221" t="s">
        <v>13</v>
      </c>
      <c r="W3" s="222" t="s">
        <v>14</v>
      </c>
      <c r="X3" s="222" t="s">
        <v>15</v>
      </c>
      <c r="Y3" s="217" t="s">
        <v>1140</v>
      </c>
      <c r="Z3" s="309" t="s">
        <v>17</v>
      </c>
      <c r="AA3" s="309"/>
      <c r="AB3" s="217" t="s">
        <v>18</v>
      </c>
      <c r="AC3" s="216" t="s">
        <v>19</v>
      </c>
      <c r="AD3" s="216" t="s">
        <v>13</v>
      </c>
    </row>
    <row r="4" spans="1:30" ht="30" x14ac:dyDescent="0.25">
      <c r="A4" s="13" t="s">
        <v>20</v>
      </c>
      <c r="B4" s="248" t="s">
        <v>782</v>
      </c>
      <c r="C4" s="49" t="s">
        <v>769</v>
      </c>
      <c r="D4" s="14" t="s">
        <v>28</v>
      </c>
      <c r="E4" s="16">
        <v>7843.4999999999982</v>
      </c>
      <c r="F4" s="17">
        <v>3734.9999999999991</v>
      </c>
      <c r="G4" s="17">
        <v>622.5</v>
      </c>
      <c r="H4" s="25">
        <v>622.5</v>
      </c>
      <c r="I4" s="18"/>
      <c r="J4" s="19">
        <f>SUM(E4:I4)</f>
        <v>12823.499999999996</v>
      </c>
      <c r="K4" s="19" t="s">
        <v>22</v>
      </c>
      <c r="L4" s="20">
        <v>0</v>
      </c>
      <c r="M4" s="20"/>
      <c r="N4" s="20"/>
      <c r="O4" s="20"/>
      <c r="P4" s="17">
        <f>J4/30*N4</f>
        <v>0</v>
      </c>
      <c r="Q4" s="21">
        <f>J4+L4+M4-P4</f>
        <v>12823.499999999996</v>
      </c>
      <c r="R4" s="22">
        <v>31</v>
      </c>
      <c r="S4" s="22"/>
      <c r="T4" s="91" t="s">
        <v>785</v>
      </c>
      <c r="U4" s="45" t="s">
        <v>1146</v>
      </c>
      <c r="V4" s="23"/>
      <c r="W4" s="121">
        <v>11854</v>
      </c>
      <c r="X4" s="30">
        <f>W4*9</f>
        <v>106686</v>
      </c>
      <c r="Y4" s="30">
        <v>12823.499999999996</v>
      </c>
      <c r="Z4" s="22">
        <v>56</v>
      </c>
      <c r="AA4" s="30">
        <f>W4/30*Z4</f>
        <v>22127.466666666667</v>
      </c>
      <c r="AB4" s="21"/>
      <c r="AC4" s="31">
        <f>AA4+X4+AB4</f>
        <v>128813.46666666667</v>
      </c>
      <c r="AD4" s="22"/>
    </row>
    <row r="5" spans="1:30" ht="30" x14ac:dyDescent="0.25">
      <c r="A5" s="13" t="s">
        <v>26</v>
      </c>
      <c r="B5" s="248" t="s">
        <v>674</v>
      </c>
      <c r="C5" s="91" t="s">
        <v>1145</v>
      </c>
      <c r="D5" s="14"/>
      <c r="E5" s="16"/>
      <c r="F5" s="17"/>
      <c r="G5" s="17"/>
      <c r="H5" s="25"/>
      <c r="I5" s="18"/>
      <c r="J5" s="19"/>
      <c r="K5" s="19"/>
      <c r="L5" s="20"/>
      <c r="M5" s="20"/>
      <c r="N5" s="20"/>
      <c r="O5" s="20"/>
      <c r="P5" s="17"/>
      <c r="Q5" s="21"/>
      <c r="R5" s="22"/>
      <c r="S5" s="22"/>
      <c r="T5" s="91" t="s">
        <v>678</v>
      </c>
      <c r="U5" s="45" t="s">
        <v>1147</v>
      </c>
      <c r="V5" s="23"/>
      <c r="W5" s="121">
        <v>24035</v>
      </c>
      <c r="X5" s="30">
        <f>W5*9</f>
        <v>216315</v>
      </c>
      <c r="Y5" s="30"/>
      <c r="Z5" s="22">
        <v>60</v>
      </c>
      <c r="AA5" s="30">
        <f>W5/30*Z5</f>
        <v>48070</v>
      </c>
      <c r="AB5" s="21">
        <v>5000</v>
      </c>
      <c r="AC5" s="31">
        <f>AA5+X5+AB5</f>
        <v>269385</v>
      </c>
      <c r="AD5" s="22"/>
    </row>
    <row r="6" spans="1:30" x14ac:dyDescent="0.25">
      <c r="A6" s="13" t="s">
        <v>29</v>
      </c>
      <c r="B6" s="92"/>
      <c r="C6" s="86"/>
      <c r="D6" s="15"/>
      <c r="E6" s="16"/>
      <c r="F6" s="17"/>
      <c r="G6" s="17"/>
      <c r="H6" s="25"/>
      <c r="I6" s="18"/>
      <c r="J6" s="41"/>
      <c r="K6" s="19"/>
      <c r="L6" s="20"/>
      <c r="M6" s="20"/>
      <c r="N6" s="20"/>
      <c r="O6" s="20"/>
      <c r="P6" s="17"/>
      <c r="Q6" s="21"/>
      <c r="R6" s="22"/>
      <c r="S6" s="22"/>
      <c r="T6" s="86"/>
      <c r="U6" s="45"/>
      <c r="V6" s="23"/>
      <c r="W6" s="158"/>
      <c r="X6" s="30"/>
      <c r="Y6" s="68"/>
      <c r="Z6" s="247"/>
      <c r="AA6" s="30"/>
      <c r="AB6" s="22"/>
      <c r="AC6" s="31"/>
      <c r="AD6" s="22"/>
    </row>
    <row r="7" spans="1:30" x14ac:dyDescent="0.25">
      <c r="A7" s="13" t="s">
        <v>31</v>
      </c>
      <c r="B7" s="92"/>
      <c r="C7" s="91"/>
      <c r="D7" s="14"/>
      <c r="E7" s="16"/>
      <c r="F7" s="17"/>
      <c r="G7" s="17"/>
      <c r="H7" s="25"/>
      <c r="I7" s="18"/>
      <c r="J7" s="41"/>
      <c r="K7" s="19"/>
      <c r="L7" s="20"/>
      <c r="M7" s="20"/>
      <c r="N7" s="20"/>
      <c r="O7" s="20"/>
      <c r="P7" s="17"/>
      <c r="Q7" s="21"/>
      <c r="R7" s="22"/>
      <c r="S7" s="22"/>
      <c r="T7" s="86"/>
      <c r="U7" s="45"/>
      <c r="V7" s="23"/>
      <c r="W7" s="126"/>
      <c r="X7" s="30"/>
      <c r="Y7" s="22"/>
      <c r="Z7" s="247"/>
      <c r="AA7" s="30"/>
      <c r="AB7" s="30"/>
      <c r="AC7" s="31"/>
      <c r="AD7" s="22"/>
    </row>
    <row r="8" spans="1:30" x14ac:dyDescent="0.25">
      <c r="A8" s="13" t="s">
        <v>33</v>
      </c>
      <c r="B8" s="242"/>
      <c r="C8" s="86"/>
      <c r="D8" s="14"/>
      <c r="E8" s="16"/>
      <c r="F8" s="17"/>
      <c r="G8" s="17"/>
      <c r="H8" s="25"/>
      <c r="I8" s="18"/>
      <c r="J8" s="19"/>
      <c r="K8" s="19"/>
      <c r="L8" s="20"/>
      <c r="M8" s="20"/>
      <c r="N8" s="20"/>
      <c r="O8" s="20"/>
      <c r="P8" s="17"/>
      <c r="Q8" s="21"/>
      <c r="R8" s="22"/>
      <c r="S8" s="22"/>
      <c r="T8" s="91"/>
      <c r="U8" s="45"/>
      <c r="V8" s="23"/>
      <c r="W8" s="126"/>
      <c r="X8" s="30"/>
      <c r="Y8" s="22"/>
      <c r="Z8" s="247"/>
      <c r="AA8" s="30"/>
      <c r="AB8" s="30"/>
      <c r="AC8" s="31"/>
      <c r="AD8" s="22"/>
    </row>
    <row r="9" spans="1:30" x14ac:dyDescent="0.25">
      <c r="A9" s="13" t="s">
        <v>35</v>
      </c>
      <c r="B9" s="92"/>
      <c r="C9" s="86"/>
      <c r="D9" s="14"/>
      <c r="E9" s="16"/>
      <c r="F9" s="17"/>
      <c r="G9" s="17"/>
      <c r="H9" s="25"/>
      <c r="I9" s="18"/>
      <c r="J9" s="19"/>
      <c r="K9" s="19"/>
      <c r="L9" s="20"/>
      <c r="M9" s="20"/>
      <c r="N9" s="20"/>
      <c r="O9" s="20"/>
      <c r="P9" s="17"/>
      <c r="Q9" s="21"/>
      <c r="R9" s="22"/>
      <c r="S9" s="22"/>
      <c r="T9" s="86"/>
      <c r="U9" s="45"/>
      <c r="V9" s="23"/>
      <c r="W9" s="121"/>
      <c r="X9" s="30"/>
      <c r="Y9" s="30"/>
      <c r="Z9" s="247"/>
      <c r="AA9" s="30"/>
      <c r="AB9" s="21"/>
      <c r="AC9" s="31"/>
      <c r="AD9" s="22"/>
    </row>
    <row r="10" spans="1:30" s="12" customFormat="1" x14ac:dyDescent="0.25">
      <c r="A10" s="223"/>
      <c r="B10" s="224" t="s">
        <v>48</v>
      </c>
      <c r="C10" s="225"/>
      <c r="D10" s="225"/>
      <c r="E10" s="225"/>
      <c r="F10" s="226"/>
      <c r="G10" s="226"/>
      <c r="H10" s="226"/>
      <c r="I10" s="225"/>
      <c r="J10" s="227">
        <f>SUM(J4:J7)</f>
        <v>12823.499999999996</v>
      </c>
      <c r="K10" s="228"/>
      <c r="L10" s="226"/>
      <c r="M10" s="229"/>
      <c r="N10" s="226"/>
      <c r="O10" s="226"/>
      <c r="P10" s="229"/>
      <c r="Q10" s="225"/>
      <c r="R10" s="225"/>
      <c r="S10" s="225"/>
      <c r="T10" s="225"/>
      <c r="U10" s="216"/>
      <c r="V10" s="224"/>
      <c r="W10" s="226">
        <f>SUM(W4:W8)</f>
        <v>35889</v>
      </c>
      <c r="X10" s="226">
        <f>SUM(X4:X7)</f>
        <v>323001</v>
      </c>
      <c r="Y10" s="226">
        <f>SUM(Y4:Y6)</f>
        <v>12823.499999999996</v>
      </c>
      <c r="Z10" s="225"/>
      <c r="AA10" s="226">
        <f>SUM(AA4:AA7)</f>
        <v>70197.466666666674</v>
      </c>
      <c r="AB10" s="226">
        <f>SUM(AB4:AB7)</f>
        <v>5000</v>
      </c>
      <c r="AC10" s="226">
        <f>SUM(AC4:AC7)</f>
        <v>398198.46666666667</v>
      </c>
      <c r="AD10" s="225"/>
    </row>
    <row r="15" spans="1:30" x14ac:dyDescent="0.25">
      <c r="Z15" s="90"/>
    </row>
    <row r="16" spans="1:30" x14ac:dyDescent="0.25">
      <c r="Z16" s="90"/>
    </row>
  </sheetData>
  <mergeCells count="4">
    <mergeCell ref="A1:AC1"/>
    <mergeCell ref="A2:AC2"/>
    <mergeCell ref="N3:P3"/>
    <mergeCell ref="Z3:AA3"/>
  </mergeCells>
  <pageMargins left="0.7" right="0.7" top="0.75" bottom="0.75" header="0.3" footer="0.3"/>
  <pageSetup scale="7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"/>
  <sheetViews>
    <sheetView topLeftCell="A4" workbookViewId="0">
      <selection activeCell="AB4" sqref="AB4"/>
    </sheetView>
  </sheetViews>
  <sheetFormatPr defaultRowHeight="15.75" x14ac:dyDescent="0.25"/>
  <cols>
    <col min="1" max="1" width="6.5703125" style="78" customWidth="1"/>
    <col min="2" max="2" width="24.85546875" style="1" customWidth="1"/>
    <col min="3" max="3" width="19" style="1" customWidth="1"/>
    <col min="4" max="4" width="13" style="1" hidden="1" customWidth="1"/>
    <col min="5" max="5" width="13.5703125" style="1" hidden="1" customWidth="1"/>
    <col min="6" max="6" width="11" style="1" hidden="1" customWidth="1"/>
    <col min="7" max="7" width="10.5703125" style="1" hidden="1" customWidth="1"/>
    <col min="8" max="8" width="10" style="1" hidden="1" customWidth="1"/>
    <col min="9" max="9" width="8.5703125" style="1" hidden="1" customWidth="1"/>
    <col min="10" max="10" width="10.7109375" style="79" hidden="1" customWidth="1"/>
    <col min="11" max="11" width="9.42578125" style="80" hidden="1" customWidth="1"/>
    <col min="12" max="12" width="14.5703125" style="81" hidden="1" customWidth="1"/>
    <col min="13" max="13" width="6.7109375" style="82" hidden="1" customWidth="1"/>
    <col min="14" max="14" width="9" style="81" hidden="1" customWidth="1"/>
    <col min="15" max="15" width="6.85546875" style="81" hidden="1" customWidth="1"/>
    <col min="16" max="16" width="10.5703125" style="82" hidden="1" customWidth="1"/>
    <col min="17" max="17" width="12.28515625" style="1" hidden="1" customWidth="1"/>
    <col min="18" max="18" width="12.5703125" style="1" hidden="1" customWidth="1"/>
    <col min="19" max="19" width="0.28515625" style="1" customWidth="1"/>
    <col min="20" max="20" width="12.85546875" style="1" customWidth="1"/>
    <col min="21" max="21" width="10.5703125" style="213" customWidth="1"/>
    <col min="22" max="22" width="10" style="1" hidden="1" customWidth="1"/>
    <col min="23" max="23" width="11.42578125" style="1" customWidth="1"/>
    <col min="24" max="24" width="14.5703125" style="1" customWidth="1"/>
    <col min="25" max="25" width="12.7109375" style="1" hidden="1" customWidth="1"/>
    <col min="26" max="26" width="9" style="1" customWidth="1"/>
    <col min="27" max="27" width="11.140625" style="1" customWidth="1"/>
    <col min="28" max="28" width="14.5703125" style="1" customWidth="1"/>
    <col min="29" max="29" width="15.140625" style="1" customWidth="1"/>
    <col min="30" max="30" width="9.140625" style="1" customWidth="1"/>
    <col min="31" max="244" width="9.140625" style="1"/>
    <col min="245" max="245" width="5.140625" style="1" customWidth="1"/>
    <col min="246" max="246" width="33.5703125" style="1" customWidth="1"/>
    <col min="247" max="247" width="25.85546875" style="1" customWidth="1"/>
    <col min="248" max="248" width="0" style="1" hidden="1" customWidth="1"/>
    <col min="249" max="249" width="14.85546875" style="1" customWidth="1"/>
    <col min="250" max="250" width="13.85546875" style="1" customWidth="1"/>
    <col min="251" max="251" width="12.140625" style="1" customWidth="1"/>
    <col min="252" max="252" width="13.7109375" style="1" customWidth="1"/>
    <col min="253" max="253" width="8.5703125" style="1" customWidth="1"/>
    <col min="254" max="254" width="13" style="1" customWidth="1"/>
    <col min="255" max="255" width="9" style="1" customWidth="1"/>
    <col min="256" max="256" width="6.7109375" style="1" customWidth="1"/>
    <col min="257" max="257" width="9" style="1" customWidth="1"/>
    <col min="258" max="258" width="6.85546875" style="1" customWidth="1"/>
    <col min="259" max="259" width="10.5703125" style="1" customWidth="1"/>
    <col min="260" max="260" width="12.28515625" style="1" customWidth="1"/>
    <col min="261" max="261" width="12.5703125" style="1" customWidth="1"/>
    <col min="262" max="262" width="1.5703125" style="1" customWidth="1"/>
    <col min="263" max="263" width="45.140625" style="1" customWidth="1"/>
    <col min="264" max="264" width="13.140625" style="1" customWidth="1"/>
    <col min="265" max="265" width="10.28515625" style="1" bestFit="1" customWidth="1"/>
    <col min="266" max="266" width="16.28515625" style="1" bestFit="1" customWidth="1"/>
    <col min="267" max="267" width="11.28515625" style="1" bestFit="1" customWidth="1"/>
    <col min="268" max="500" width="9.140625" style="1"/>
    <col min="501" max="501" width="5.140625" style="1" customWidth="1"/>
    <col min="502" max="502" width="33.5703125" style="1" customWidth="1"/>
    <col min="503" max="503" width="25.85546875" style="1" customWidth="1"/>
    <col min="504" max="504" width="0" style="1" hidden="1" customWidth="1"/>
    <col min="505" max="505" width="14.85546875" style="1" customWidth="1"/>
    <col min="506" max="506" width="13.85546875" style="1" customWidth="1"/>
    <col min="507" max="507" width="12.140625" style="1" customWidth="1"/>
    <col min="508" max="508" width="13.7109375" style="1" customWidth="1"/>
    <col min="509" max="509" width="8.5703125" style="1" customWidth="1"/>
    <col min="510" max="510" width="13" style="1" customWidth="1"/>
    <col min="511" max="511" width="9" style="1" customWidth="1"/>
    <col min="512" max="512" width="6.7109375" style="1" customWidth="1"/>
    <col min="513" max="513" width="9" style="1" customWidth="1"/>
    <col min="514" max="514" width="6.85546875" style="1" customWidth="1"/>
    <col min="515" max="515" width="10.5703125" style="1" customWidth="1"/>
    <col min="516" max="516" width="12.28515625" style="1" customWidth="1"/>
    <col min="517" max="517" width="12.5703125" style="1" customWidth="1"/>
    <col min="518" max="518" width="1.5703125" style="1" customWidth="1"/>
    <col min="519" max="519" width="45.140625" style="1" customWidth="1"/>
    <col min="520" max="520" width="13.140625" style="1" customWidth="1"/>
    <col min="521" max="521" width="10.28515625" style="1" bestFit="1" customWidth="1"/>
    <col min="522" max="522" width="16.28515625" style="1" bestFit="1" customWidth="1"/>
    <col min="523" max="523" width="11.28515625" style="1" bestFit="1" customWidth="1"/>
    <col min="524" max="756" width="9.140625" style="1"/>
    <col min="757" max="757" width="5.140625" style="1" customWidth="1"/>
    <col min="758" max="758" width="33.5703125" style="1" customWidth="1"/>
    <col min="759" max="759" width="25.85546875" style="1" customWidth="1"/>
    <col min="760" max="760" width="0" style="1" hidden="1" customWidth="1"/>
    <col min="761" max="761" width="14.85546875" style="1" customWidth="1"/>
    <col min="762" max="762" width="13.85546875" style="1" customWidth="1"/>
    <col min="763" max="763" width="12.140625" style="1" customWidth="1"/>
    <col min="764" max="764" width="13.7109375" style="1" customWidth="1"/>
    <col min="765" max="765" width="8.5703125" style="1" customWidth="1"/>
    <col min="766" max="766" width="13" style="1" customWidth="1"/>
    <col min="767" max="767" width="9" style="1" customWidth="1"/>
    <col min="768" max="768" width="6.7109375" style="1" customWidth="1"/>
    <col min="769" max="769" width="9" style="1" customWidth="1"/>
    <col min="770" max="770" width="6.85546875" style="1" customWidth="1"/>
    <col min="771" max="771" width="10.5703125" style="1" customWidth="1"/>
    <col min="772" max="772" width="12.28515625" style="1" customWidth="1"/>
    <col min="773" max="773" width="12.5703125" style="1" customWidth="1"/>
    <col min="774" max="774" width="1.5703125" style="1" customWidth="1"/>
    <col min="775" max="775" width="45.140625" style="1" customWidth="1"/>
    <col min="776" max="776" width="13.140625" style="1" customWidth="1"/>
    <col min="777" max="777" width="10.28515625" style="1" bestFit="1" customWidth="1"/>
    <col min="778" max="778" width="16.28515625" style="1" bestFit="1" customWidth="1"/>
    <col min="779" max="779" width="11.28515625" style="1" bestFit="1" customWidth="1"/>
    <col min="780" max="1012" width="9.140625" style="1"/>
    <col min="1013" max="1013" width="5.140625" style="1" customWidth="1"/>
    <col min="1014" max="1014" width="33.5703125" style="1" customWidth="1"/>
    <col min="1015" max="1015" width="25.85546875" style="1" customWidth="1"/>
    <col min="1016" max="1016" width="0" style="1" hidden="1" customWidth="1"/>
    <col min="1017" max="1017" width="14.85546875" style="1" customWidth="1"/>
    <col min="1018" max="1018" width="13.85546875" style="1" customWidth="1"/>
    <col min="1019" max="1019" width="12.140625" style="1" customWidth="1"/>
    <col min="1020" max="1020" width="13.7109375" style="1" customWidth="1"/>
    <col min="1021" max="1021" width="8.5703125" style="1" customWidth="1"/>
    <col min="1022" max="1022" width="13" style="1" customWidth="1"/>
    <col min="1023" max="1023" width="9" style="1" customWidth="1"/>
    <col min="1024" max="1024" width="6.7109375" style="1" customWidth="1"/>
    <col min="1025" max="1025" width="9" style="1" customWidth="1"/>
    <col min="1026" max="1026" width="6.85546875" style="1" customWidth="1"/>
    <col min="1027" max="1027" width="10.5703125" style="1" customWidth="1"/>
    <col min="1028" max="1028" width="12.28515625" style="1" customWidth="1"/>
    <col min="1029" max="1029" width="12.5703125" style="1" customWidth="1"/>
    <col min="1030" max="1030" width="1.5703125" style="1" customWidth="1"/>
    <col min="1031" max="1031" width="45.140625" style="1" customWidth="1"/>
    <col min="1032" max="1032" width="13.140625" style="1" customWidth="1"/>
    <col min="1033" max="1033" width="10.28515625" style="1" bestFit="1" customWidth="1"/>
    <col min="1034" max="1034" width="16.28515625" style="1" bestFit="1" customWidth="1"/>
    <col min="1035" max="1035" width="11.28515625" style="1" bestFit="1" customWidth="1"/>
    <col min="1036" max="1268" width="9.140625" style="1"/>
    <col min="1269" max="1269" width="5.140625" style="1" customWidth="1"/>
    <col min="1270" max="1270" width="33.5703125" style="1" customWidth="1"/>
    <col min="1271" max="1271" width="25.85546875" style="1" customWidth="1"/>
    <col min="1272" max="1272" width="0" style="1" hidden="1" customWidth="1"/>
    <col min="1273" max="1273" width="14.85546875" style="1" customWidth="1"/>
    <col min="1274" max="1274" width="13.85546875" style="1" customWidth="1"/>
    <col min="1275" max="1275" width="12.140625" style="1" customWidth="1"/>
    <col min="1276" max="1276" width="13.7109375" style="1" customWidth="1"/>
    <col min="1277" max="1277" width="8.5703125" style="1" customWidth="1"/>
    <col min="1278" max="1278" width="13" style="1" customWidth="1"/>
    <col min="1279" max="1279" width="9" style="1" customWidth="1"/>
    <col min="1280" max="1280" width="6.7109375" style="1" customWidth="1"/>
    <col min="1281" max="1281" width="9" style="1" customWidth="1"/>
    <col min="1282" max="1282" width="6.85546875" style="1" customWidth="1"/>
    <col min="1283" max="1283" width="10.5703125" style="1" customWidth="1"/>
    <col min="1284" max="1284" width="12.28515625" style="1" customWidth="1"/>
    <col min="1285" max="1285" width="12.5703125" style="1" customWidth="1"/>
    <col min="1286" max="1286" width="1.5703125" style="1" customWidth="1"/>
    <col min="1287" max="1287" width="45.140625" style="1" customWidth="1"/>
    <col min="1288" max="1288" width="13.140625" style="1" customWidth="1"/>
    <col min="1289" max="1289" width="10.28515625" style="1" bestFit="1" customWidth="1"/>
    <col min="1290" max="1290" width="16.28515625" style="1" bestFit="1" customWidth="1"/>
    <col min="1291" max="1291" width="11.28515625" style="1" bestFit="1" customWidth="1"/>
    <col min="1292" max="1524" width="9.140625" style="1"/>
    <col min="1525" max="1525" width="5.140625" style="1" customWidth="1"/>
    <col min="1526" max="1526" width="33.5703125" style="1" customWidth="1"/>
    <col min="1527" max="1527" width="25.85546875" style="1" customWidth="1"/>
    <col min="1528" max="1528" width="0" style="1" hidden="1" customWidth="1"/>
    <col min="1529" max="1529" width="14.85546875" style="1" customWidth="1"/>
    <col min="1530" max="1530" width="13.85546875" style="1" customWidth="1"/>
    <col min="1531" max="1531" width="12.140625" style="1" customWidth="1"/>
    <col min="1532" max="1532" width="13.7109375" style="1" customWidth="1"/>
    <col min="1533" max="1533" width="8.5703125" style="1" customWidth="1"/>
    <col min="1534" max="1534" width="13" style="1" customWidth="1"/>
    <col min="1535" max="1535" width="9" style="1" customWidth="1"/>
    <col min="1536" max="1536" width="6.7109375" style="1" customWidth="1"/>
    <col min="1537" max="1537" width="9" style="1" customWidth="1"/>
    <col min="1538" max="1538" width="6.85546875" style="1" customWidth="1"/>
    <col min="1539" max="1539" width="10.5703125" style="1" customWidth="1"/>
    <col min="1540" max="1540" width="12.28515625" style="1" customWidth="1"/>
    <col min="1541" max="1541" width="12.5703125" style="1" customWidth="1"/>
    <col min="1542" max="1542" width="1.5703125" style="1" customWidth="1"/>
    <col min="1543" max="1543" width="45.140625" style="1" customWidth="1"/>
    <col min="1544" max="1544" width="13.140625" style="1" customWidth="1"/>
    <col min="1545" max="1545" width="10.28515625" style="1" bestFit="1" customWidth="1"/>
    <col min="1546" max="1546" width="16.28515625" style="1" bestFit="1" customWidth="1"/>
    <col min="1547" max="1547" width="11.28515625" style="1" bestFit="1" customWidth="1"/>
    <col min="1548" max="1780" width="9.140625" style="1"/>
    <col min="1781" max="1781" width="5.140625" style="1" customWidth="1"/>
    <col min="1782" max="1782" width="33.5703125" style="1" customWidth="1"/>
    <col min="1783" max="1783" width="25.85546875" style="1" customWidth="1"/>
    <col min="1784" max="1784" width="0" style="1" hidden="1" customWidth="1"/>
    <col min="1785" max="1785" width="14.85546875" style="1" customWidth="1"/>
    <col min="1786" max="1786" width="13.85546875" style="1" customWidth="1"/>
    <col min="1787" max="1787" width="12.140625" style="1" customWidth="1"/>
    <col min="1788" max="1788" width="13.7109375" style="1" customWidth="1"/>
    <col min="1789" max="1789" width="8.5703125" style="1" customWidth="1"/>
    <col min="1790" max="1790" width="13" style="1" customWidth="1"/>
    <col min="1791" max="1791" width="9" style="1" customWidth="1"/>
    <col min="1792" max="1792" width="6.7109375" style="1" customWidth="1"/>
    <col min="1793" max="1793" width="9" style="1" customWidth="1"/>
    <col min="1794" max="1794" width="6.85546875" style="1" customWidth="1"/>
    <col min="1795" max="1795" width="10.5703125" style="1" customWidth="1"/>
    <col min="1796" max="1796" width="12.28515625" style="1" customWidth="1"/>
    <col min="1797" max="1797" width="12.5703125" style="1" customWidth="1"/>
    <col min="1798" max="1798" width="1.5703125" style="1" customWidth="1"/>
    <col min="1799" max="1799" width="45.140625" style="1" customWidth="1"/>
    <col min="1800" max="1800" width="13.140625" style="1" customWidth="1"/>
    <col min="1801" max="1801" width="10.28515625" style="1" bestFit="1" customWidth="1"/>
    <col min="1802" max="1802" width="16.28515625" style="1" bestFit="1" customWidth="1"/>
    <col min="1803" max="1803" width="11.28515625" style="1" bestFit="1" customWidth="1"/>
    <col min="1804" max="2036" width="9.140625" style="1"/>
    <col min="2037" max="2037" width="5.140625" style="1" customWidth="1"/>
    <col min="2038" max="2038" width="33.5703125" style="1" customWidth="1"/>
    <col min="2039" max="2039" width="25.85546875" style="1" customWidth="1"/>
    <col min="2040" max="2040" width="0" style="1" hidden="1" customWidth="1"/>
    <col min="2041" max="2041" width="14.85546875" style="1" customWidth="1"/>
    <col min="2042" max="2042" width="13.85546875" style="1" customWidth="1"/>
    <col min="2043" max="2043" width="12.140625" style="1" customWidth="1"/>
    <col min="2044" max="2044" width="13.7109375" style="1" customWidth="1"/>
    <col min="2045" max="2045" width="8.5703125" style="1" customWidth="1"/>
    <col min="2046" max="2046" width="13" style="1" customWidth="1"/>
    <col min="2047" max="2047" width="9" style="1" customWidth="1"/>
    <col min="2048" max="2048" width="6.7109375" style="1" customWidth="1"/>
    <col min="2049" max="2049" width="9" style="1" customWidth="1"/>
    <col min="2050" max="2050" width="6.85546875" style="1" customWidth="1"/>
    <col min="2051" max="2051" width="10.5703125" style="1" customWidth="1"/>
    <col min="2052" max="2052" width="12.28515625" style="1" customWidth="1"/>
    <col min="2053" max="2053" width="12.5703125" style="1" customWidth="1"/>
    <col min="2054" max="2054" width="1.5703125" style="1" customWidth="1"/>
    <col min="2055" max="2055" width="45.140625" style="1" customWidth="1"/>
    <col min="2056" max="2056" width="13.140625" style="1" customWidth="1"/>
    <col min="2057" max="2057" width="10.28515625" style="1" bestFit="1" customWidth="1"/>
    <col min="2058" max="2058" width="16.28515625" style="1" bestFit="1" customWidth="1"/>
    <col min="2059" max="2059" width="11.28515625" style="1" bestFit="1" customWidth="1"/>
    <col min="2060" max="2292" width="9.140625" style="1"/>
    <col min="2293" max="2293" width="5.140625" style="1" customWidth="1"/>
    <col min="2294" max="2294" width="33.5703125" style="1" customWidth="1"/>
    <col min="2295" max="2295" width="25.85546875" style="1" customWidth="1"/>
    <col min="2296" max="2296" width="0" style="1" hidden="1" customWidth="1"/>
    <col min="2297" max="2297" width="14.85546875" style="1" customWidth="1"/>
    <col min="2298" max="2298" width="13.85546875" style="1" customWidth="1"/>
    <col min="2299" max="2299" width="12.140625" style="1" customWidth="1"/>
    <col min="2300" max="2300" width="13.7109375" style="1" customWidth="1"/>
    <col min="2301" max="2301" width="8.5703125" style="1" customWidth="1"/>
    <col min="2302" max="2302" width="13" style="1" customWidth="1"/>
    <col min="2303" max="2303" width="9" style="1" customWidth="1"/>
    <col min="2304" max="2304" width="6.7109375" style="1" customWidth="1"/>
    <col min="2305" max="2305" width="9" style="1" customWidth="1"/>
    <col min="2306" max="2306" width="6.85546875" style="1" customWidth="1"/>
    <col min="2307" max="2307" width="10.5703125" style="1" customWidth="1"/>
    <col min="2308" max="2308" width="12.28515625" style="1" customWidth="1"/>
    <col min="2309" max="2309" width="12.5703125" style="1" customWidth="1"/>
    <col min="2310" max="2310" width="1.5703125" style="1" customWidth="1"/>
    <col min="2311" max="2311" width="45.140625" style="1" customWidth="1"/>
    <col min="2312" max="2312" width="13.140625" style="1" customWidth="1"/>
    <col min="2313" max="2313" width="10.28515625" style="1" bestFit="1" customWidth="1"/>
    <col min="2314" max="2314" width="16.28515625" style="1" bestFit="1" customWidth="1"/>
    <col min="2315" max="2315" width="11.28515625" style="1" bestFit="1" customWidth="1"/>
    <col min="2316" max="2548" width="9.140625" style="1"/>
    <col min="2549" max="2549" width="5.140625" style="1" customWidth="1"/>
    <col min="2550" max="2550" width="33.5703125" style="1" customWidth="1"/>
    <col min="2551" max="2551" width="25.85546875" style="1" customWidth="1"/>
    <col min="2552" max="2552" width="0" style="1" hidden="1" customWidth="1"/>
    <col min="2553" max="2553" width="14.85546875" style="1" customWidth="1"/>
    <col min="2554" max="2554" width="13.85546875" style="1" customWidth="1"/>
    <col min="2555" max="2555" width="12.140625" style="1" customWidth="1"/>
    <col min="2556" max="2556" width="13.7109375" style="1" customWidth="1"/>
    <col min="2557" max="2557" width="8.5703125" style="1" customWidth="1"/>
    <col min="2558" max="2558" width="13" style="1" customWidth="1"/>
    <col min="2559" max="2559" width="9" style="1" customWidth="1"/>
    <col min="2560" max="2560" width="6.7109375" style="1" customWidth="1"/>
    <col min="2561" max="2561" width="9" style="1" customWidth="1"/>
    <col min="2562" max="2562" width="6.85546875" style="1" customWidth="1"/>
    <col min="2563" max="2563" width="10.5703125" style="1" customWidth="1"/>
    <col min="2564" max="2564" width="12.28515625" style="1" customWidth="1"/>
    <col min="2565" max="2565" width="12.5703125" style="1" customWidth="1"/>
    <col min="2566" max="2566" width="1.5703125" style="1" customWidth="1"/>
    <col min="2567" max="2567" width="45.140625" style="1" customWidth="1"/>
    <col min="2568" max="2568" width="13.140625" style="1" customWidth="1"/>
    <col min="2569" max="2569" width="10.28515625" style="1" bestFit="1" customWidth="1"/>
    <col min="2570" max="2570" width="16.28515625" style="1" bestFit="1" customWidth="1"/>
    <col min="2571" max="2571" width="11.28515625" style="1" bestFit="1" customWidth="1"/>
    <col min="2572" max="2804" width="9.140625" style="1"/>
    <col min="2805" max="2805" width="5.140625" style="1" customWidth="1"/>
    <col min="2806" max="2806" width="33.5703125" style="1" customWidth="1"/>
    <col min="2807" max="2807" width="25.85546875" style="1" customWidth="1"/>
    <col min="2808" max="2808" width="0" style="1" hidden="1" customWidth="1"/>
    <col min="2809" max="2809" width="14.85546875" style="1" customWidth="1"/>
    <col min="2810" max="2810" width="13.85546875" style="1" customWidth="1"/>
    <col min="2811" max="2811" width="12.140625" style="1" customWidth="1"/>
    <col min="2812" max="2812" width="13.7109375" style="1" customWidth="1"/>
    <col min="2813" max="2813" width="8.5703125" style="1" customWidth="1"/>
    <col min="2814" max="2814" width="13" style="1" customWidth="1"/>
    <col min="2815" max="2815" width="9" style="1" customWidth="1"/>
    <col min="2816" max="2816" width="6.7109375" style="1" customWidth="1"/>
    <col min="2817" max="2817" width="9" style="1" customWidth="1"/>
    <col min="2818" max="2818" width="6.85546875" style="1" customWidth="1"/>
    <col min="2819" max="2819" width="10.5703125" style="1" customWidth="1"/>
    <col min="2820" max="2820" width="12.28515625" style="1" customWidth="1"/>
    <col min="2821" max="2821" width="12.5703125" style="1" customWidth="1"/>
    <col min="2822" max="2822" width="1.5703125" style="1" customWidth="1"/>
    <col min="2823" max="2823" width="45.140625" style="1" customWidth="1"/>
    <col min="2824" max="2824" width="13.140625" style="1" customWidth="1"/>
    <col min="2825" max="2825" width="10.28515625" style="1" bestFit="1" customWidth="1"/>
    <col min="2826" max="2826" width="16.28515625" style="1" bestFit="1" customWidth="1"/>
    <col min="2827" max="2827" width="11.28515625" style="1" bestFit="1" customWidth="1"/>
    <col min="2828" max="3060" width="9.140625" style="1"/>
    <col min="3061" max="3061" width="5.140625" style="1" customWidth="1"/>
    <col min="3062" max="3062" width="33.5703125" style="1" customWidth="1"/>
    <col min="3063" max="3063" width="25.85546875" style="1" customWidth="1"/>
    <col min="3064" max="3064" width="0" style="1" hidden="1" customWidth="1"/>
    <col min="3065" max="3065" width="14.85546875" style="1" customWidth="1"/>
    <col min="3066" max="3066" width="13.85546875" style="1" customWidth="1"/>
    <col min="3067" max="3067" width="12.140625" style="1" customWidth="1"/>
    <col min="3068" max="3068" width="13.7109375" style="1" customWidth="1"/>
    <col min="3069" max="3069" width="8.5703125" style="1" customWidth="1"/>
    <col min="3070" max="3070" width="13" style="1" customWidth="1"/>
    <col min="3071" max="3071" width="9" style="1" customWidth="1"/>
    <col min="3072" max="3072" width="6.7109375" style="1" customWidth="1"/>
    <col min="3073" max="3073" width="9" style="1" customWidth="1"/>
    <col min="3074" max="3074" width="6.85546875" style="1" customWidth="1"/>
    <col min="3075" max="3075" width="10.5703125" style="1" customWidth="1"/>
    <col min="3076" max="3076" width="12.28515625" style="1" customWidth="1"/>
    <col min="3077" max="3077" width="12.5703125" style="1" customWidth="1"/>
    <col min="3078" max="3078" width="1.5703125" style="1" customWidth="1"/>
    <col min="3079" max="3079" width="45.140625" style="1" customWidth="1"/>
    <col min="3080" max="3080" width="13.140625" style="1" customWidth="1"/>
    <col min="3081" max="3081" width="10.28515625" style="1" bestFit="1" customWidth="1"/>
    <col min="3082" max="3082" width="16.28515625" style="1" bestFit="1" customWidth="1"/>
    <col min="3083" max="3083" width="11.28515625" style="1" bestFit="1" customWidth="1"/>
    <col min="3084" max="3316" width="9.140625" style="1"/>
    <col min="3317" max="3317" width="5.140625" style="1" customWidth="1"/>
    <col min="3318" max="3318" width="33.5703125" style="1" customWidth="1"/>
    <col min="3319" max="3319" width="25.85546875" style="1" customWidth="1"/>
    <col min="3320" max="3320" width="0" style="1" hidden="1" customWidth="1"/>
    <col min="3321" max="3321" width="14.85546875" style="1" customWidth="1"/>
    <col min="3322" max="3322" width="13.85546875" style="1" customWidth="1"/>
    <col min="3323" max="3323" width="12.140625" style="1" customWidth="1"/>
    <col min="3324" max="3324" width="13.7109375" style="1" customWidth="1"/>
    <col min="3325" max="3325" width="8.5703125" style="1" customWidth="1"/>
    <col min="3326" max="3326" width="13" style="1" customWidth="1"/>
    <col min="3327" max="3327" width="9" style="1" customWidth="1"/>
    <col min="3328" max="3328" width="6.7109375" style="1" customWidth="1"/>
    <col min="3329" max="3329" width="9" style="1" customWidth="1"/>
    <col min="3330" max="3330" width="6.85546875" style="1" customWidth="1"/>
    <col min="3331" max="3331" width="10.5703125" style="1" customWidth="1"/>
    <col min="3332" max="3332" width="12.28515625" style="1" customWidth="1"/>
    <col min="3333" max="3333" width="12.5703125" style="1" customWidth="1"/>
    <col min="3334" max="3334" width="1.5703125" style="1" customWidth="1"/>
    <col min="3335" max="3335" width="45.140625" style="1" customWidth="1"/>
    <col min="3336" max="3336" width="13.140625" style="1" customWidth="1"/>
    <col min="3337" max="3337" width="10.28515625" style="1" bestFit="1" customWidth="1"/>
    <col min="3338" max="3338" width="16.28515625" style="1" bestFit="1" customWidth="1"/>
    <col min="3339" max="3339" width="11.28515625" style="1" bestFit="1" customWidth="1"/>
    <col min="3340" max="3572" width="9.140625" style="1"/>
    <col min="3573" max="3573" width="5.140625" style="1" customWidth="1"/>
    <col min="3574" max="3574" width="33.5703125" style="1" customWidth="1"/>
    <col min="3575" max="3575" width="25.85546875" style="1" customWidth="1"/>
    <col min="3576" max="3576" width="0" style="1" hidden="1" customWidth="1"/>
    <col min="3577" max="3577" width="14.85546875" style="1" customWidth="1"/>
    <col min="3578" max="3578" width="13.85546875" style="1" customWidth="1"/>
    <col min="3579" max="3579" width="12.140625" style="1" customWidth="1"/>
    <col min="3580" max="3580" width="13.7109375" style="1" customWidth="1"/>
    <col min="3581" max="3581" width="8.5703125" style="1" customWidth="1"/>
    <col min="3582" max="3582" width="13" style="1" customWidth="1"/>
    <col min="3583" max="3583" width="9" style="1" customWidth="1"/>
    <col min="3584" max="3584" width="6.7109375" style="1" customWidth="1"/>
    <col min="3585" max="3585" width="9" style="1" customWidth="1"/>
    <col min="3586" max="3586" width="6.85546875" style="1" customWidth="1"/>
    <col min="3587" max="3587" width="10.5703125" style="1" customWidth="1"/>
    <col min="3588" max="3588" width="12.28515625" style="1" customWidth="1"/>
    <col min="3589" max="3589" width="12.5703125" style="1" customWidth="1"/>
    <col min="3590" max="3590" width="1.5703125" style="1" customWidth="1"/>
    <col min="3591" max="3591" width="45.140625" style="1" customWidth="1"/>
    <col min="3592" max="3592" width="13.140625" style="1" customWidth="1"/>
    <col min="3593" max="3593" width="10.28515625" style="1" bestFit="1" customWidth="1"/>
    <col min="3594" max="3594" width="16.28515625" style="1" bestFit="1" customWidth="1"/>
    <col min="3595" max="3595" width="11.28515625" style="1" bestFit="1" customWidth="1"/>
    <col min="3596" max="3828" width="9.140625" style="1"/>
    <col min="3829" max="3829" width="5.140625" style="1" customWidth="1"/>
    <col min="3830" max="3830" width="33.5703125" style="1" customWidth="1"/>
    <col min="3831" max="3831" width="25.85546875" style="1" customWidth="1"/>
    <col min="3832" max="3832" width="0" style="1" hidden="1" customWidth="1"/>
    <col min="3833" max="3833" width="14.85546875" style="1" customWidth="1"/>
    <col min="3834" max="3834" width="13.85546875" style="1" customWidth="1"/>
    <col min="3835" max="3835" width="12.140625" style="1" customWidth="1"/>
    <col min="3836" max="3836" width="13.7109375" style="1" customWidth="1"/>
    <col min="3837" max="3837" width="8.5703125" style="1" customWidth="1"/>
    <col min="3838" max="3838" width="13" style="1" customWidth="1"/>
    <col min="3839" max="3839" width="9" style="1" customWidth="1"/>
    <col min="3840" max="3840" width="6.7109375" style="1" customWidth="1"/>
    <col min="3841" max="3841" width="9" style="1" customWidth="1"/>
    <col min="3842" max="3842" width="6.85546875" style="1" customWidth="1"/>
    <col min="3843" max="3843" width="10.5703125" style="1" customWidth="1"/>
    <col min="3844" max="3844" width="12.28515625" style="1" customWidth="1"/>
    <col min="3845" max="3845" width="12.5703125" style="1" customWidth="1"/>
    <col min="3846" max="3846" width="1.5703125" style="1" customWidth="1"/>
    <col min="3847" max="3847" width="45.140625" style="1" customWidth="1"/>
    <col min="3848" max="3848" width="13.140625" style="1" customWidth="1"/>
    <col min="3849" max="3849" width="10.28515625" style="1" bestFit="1" customWidth="1"/>
    <col min="3850" max="3850" width="16.28515625" style="1" bestFit="1" customWidth="1"/>
    <col min="3851" max="3851" width="11.28515625" style="1" bestFit="1" customWidth="1"/>
    <col min="3852" max="4084" width="9.140625" style="1"/>
    <col min="4085" max="4085" width="5.140625" style="1" customWidth="1"/>
    <col min="4086" max="4086" width="33.5703125" style="1" customWidth="1"/>
    <col min="4087" max="4087" width="25.85546875" style="1" customWidth="1"/>
    <col min="4088" max="4088" width="0" style="1" hidden="1" customWidth="1"/>
    <col min="4089" max="4089" width="14.85546875" style="1" customWidth="1"/>
    <col min="4090" max="4090" width="13.85546875" style="1" customWidth="1"/>
    <col min="4091" max="4091" width="12.140625" style="1" customWidth="1"/>
    <col min="4092" max="4092" width="13.7109375" style="1" customWidth="1"/>
    <col min="4093" max="4093" width="8.5703125" style="1" customWidth="1"/>
    <col min="4094" max="4094" width="13" style="1" customWidth="1"/>
    <col min="4095" max="4095" width="9" style="1" customWidth="1"/>
    <col min="4096" max="4096" width="6.7109375" style="1" customWidth="1"/>
    <col min="4097" max="4097" width="9" style="1" customWidth="1"/>
    <col min="4098" max="4098" width="6.85546875" style="1" customWidth="1"/>
    <col min="4099" max="4099" width="10.5703125" style="1" customWidth="1"/>
    <col min="4100" max="4100" width="12.28515625" style="1" customWidth="1"/>
    <col min="4101" max="4101" width="12.5703125" style="1" customWidth="1"/>
    <col min="4102" max="4102" width="1.5703125" style="1" customWidth="1"/>
    <col min="4103" max="4103" width="45.140625" style="1" customWidth="1"/>
    <col min="4104" max="4104" width="13.140625" style="1" customWidth="1"/>
    <col min="4105" max="4105" width="10.28515625" style="1" bestFit="1" customWidth="1"/>
    <col min="4106" max="4106" width="16.28515625" style="1" bestFit="1" customWidth="1"/>
    <col min="4107" max="4107" width="11.28515625" style="1" bestFit="1" customWidth="1"/>
    <col min="4108" max="4340" width="9.140625" style="1"/>
    <col min="4341" max="4341" width="5.140625" style="1" customWidth="1"/>
    <col min="4342" max="4342" width="33.5703125" style="1" customWidth="1"/>
    <col min="4343" max="4343" width="25.85546875" style="1" customWidth="1"/>
    <col min="4344" max="4344" width="0" style="1" hidden="1" customWidth="1"/>
    <col min="4345" max="4345" width="14.85546875" style="1" customWidth="1"/>
    <col min="4346" max="4346" width="13.85546875" style="1" customWidth="1"/>
    <col min="4347" max="4347" width="12.140625" style="1" customWidth="1"/>
    <col min="4348" max="4348" width="13.7109375" style="1" customWidth="1"/>
    <col min="4349" max="4349" width="8.5703125" style="1" customWidth="1"/>
    <col min="4350" max="4350" width="13" style="1" customWidth="1"/>
    <col min="4351" max="4351" width="9" style="1" customWidth="1"/>
    <col min="4352" max="4352" width="6.7109375" style="1" customWidth="1"/>
    <col min="4353" max="4353" width="9" style="1" customWidth="1"/>
    <col min="4354" max="4354" width="6.85546875" style="1" customWidth="1"/>
    <col min="4355" max="4355" width="10.5703125" style="1" customWidth="1"/>
    <col min="4356" max="4356" width="12.28515625" style="1" customWidth="1"/>
    <col min="4357" max="4357" width="12.5703125" style="1" customWidth="1"/>
    <col min="4358" max="4358" width="1.5703125" style="1" customWidth="1"/>
    <col min="4359" max="4359" width="45.140625" style="1" customWidth="1"/>
    <col min="4360" max="4360" width="13.140625" style="1" customWidth="1"/>
    <col min="4361" max="4361" width="10.28515625" style="1" bestFit="1" customWidth="1"/>
    <col min="4362" max="4362" width="16.28515625" style="1" bestFit="1" customWidth="1"/>
    <col min="4363" max="4363" width="11.28515625" style="1" bestFit="1" customWidth="1"/>
    <col min="4364" max="4596" width="9.140625" style="1"/>
    <col min="4597" max="4597" width="5.140625" style="1" customWidth="1"/>
    <col min="4598" max="4598" width="33.5703125" style="1" customWidth="1"/>
    <col min="4599" max="4599" width="25.85546875" style="1" customWidth="1"/>
    <col min="4600" max="4600" width="0" style="1" hidden="1" customWidth="1"/>
    <col min="4601" max="4601" width="14.85546875" style="1" customWidth="1"/>
    <col min="4602" max="4602" width="13.85546875" style="1" customWidth="1"/>
    <col min="4603" max="4603" width="12.140625" style="1" customWidth="1"/>
    <col min="4604" max="4604" width="13.7109375" style="1" customWidth="1"/>
    <col min="4605" max="4605" width="8.5703125" style="1" customWidth="1"/>
    <col min="4606" max="4606" width="13" style="1" customWidth="1"/>
    <col min="4607" max="4607" width="9" style="1" customWidth="1"/>
    <col min="4608" max="4608" width="6.7109375" style="1" customWidth="1"/>
    <col min="4609" max="4609" width="9" style="1" customWidth="1"/>
    <col min="4610" max="4610" width="6.85546875" style="1" customWidth="1"/>
    <col min="4611" max="4611" width="10.5703125" style="1" customWidth="1"/>
    <col min="4612" max="4612" width="12.28515625" style="1" customWidth="1"/>
    <col min="4613" max="4613" width="12.5703125" style="1" customWidth="1"/>
    <col min="4614" max="4614" width="1.5703125" style="1" customWidth="1"/>
    <col min="4615" max="4615" width="45.140625" style="1" customWidth="1"/>
    <col min="4616" max="4616" width="13.140625" style="1" customWidth="1"/>
    <col min="4617" max="4617" width="10.28515625" style="1" bestFit="1" customWidth="1"/>
    <col min="4618" max="4618" width="16.28515625" style="1" bestFit="1" customWidth="1"/>
    <col min="4619" max="4619" width="11.28515625" style="1" bestFit="1" customWidth="1"/>
    <col min="4620" max="4852" width="9.140625" style="1"/>
    <col min="4853" max="4853" width="5.140625" style="1" customWidth="1"/>
    <col min="4854" max="4854" width="33.5703125" style="1" customWidth="1"/>
    <col min="4855" max="4855" width="25.85546875" style="1" customWidth="1"/>
    <col min="4856" max="4856" width="0" style="1" hidden="1" customWidth="1"/>
    <col min="4857" max="4857" width="14.85546875" style="1" customWidth="1"/>
    <col min="4858" max="4858" width="13.85546875" style="1" customWidth="1"/>
    <col min="4859" max="4859" width="12.140625" style="1" customWidth="1"/>
    <col min="4860" max="4860" width="13.7109375" style="1" customWidth="1"/>
    <col min="4861" max="4861" width="8.5703125" style="1" customWidth="1"/>
    <col min="4862" max="4862" width="13" style="1" customWidth="1"/>
    <col min="4863" max="4863" width="9" style="1" customWidth="1"/>
    <col min="4864" max="4864" width="6.7109375" style="1" customWidth="1"/>
    <col min="4865" max="4865" width="9" style="1" customWidth="1"/>
    <col min="4866" max="4866" width="6.85546875" style="1" customWidth="1"/>
    <col min="4867" max="4867" width="10.5703125" style="1" customWidth="1"/>
    <col min="4868" max="4868" width="12.28515625" style="1" customWidth="1"/>
    <col min="4869" max="4869" width="12.5703125" style="1" customWidth="1"/>
    <col min="4870" max="4870" width="1.5703125" style="1" customWidth="1"/>
    <col min="4871" max="4871" width="45.140625" style="1" customWidth="1"/>
    <col min="4872" max="4872" width="13.140625" style="1" customWidth="1"/>
    <col min="4873" max="4873" width="10.28515625" style="1" bestFit="1" customWidth="1"/>
    <col min="4874" max="4874" width="16.28515625" style="1" bestFit="1" customWidth="1"/>
    <col min="4875" max="4875" width="11.28515625" style="1" bestFit="1" customWidth="1"/>
    <col min="4876" max="5108" width="9.140625" style="1"/>
    <col min="5109" max="5109" width="5.140625" style="1" customWidth="1"/>
    <col min="5110" max="5110" width="33.5703125" style="1" customWidth="1"/>
    <col min="5111" max="5111" width="25.85546875" style="1" customWidth="1"/>
    <col min="5112" max="5112" width="0" style="1" hidden="1" customWidth="1"/>
    <col min="5113" max="5113" width="14.85546875" style="1" customWidth="1"/>
    <col min="5114" max="5114" width="13.85546875" style="1" customWidth="1"/>
    <col min="5115" max="5115" width="12.140625" style="1" customWidth="1"/>
    <col min="5116" max="5116" width="13.7109375" style="1" customWidth="1"/>
    <col min="5117" max="5117" width="8.5703125" style="1" customWidth="1"/>
    <col min="5118" max="5118" width="13" style="1" customWidth="1"/>
    <col min="5119" max="5119" width="9" style="1" customWidth="1"/>
    <col min="5120" max="5120" width="6.7109375" style="1" customWidth="1"/>
    <col min="5121" max="5121" width="9" style="1" customWidth="1"/>
    <col min="5122" max="5122" width="6.85546875" style="1" customWidth="1"/>
    <col min="5123" max="5123" width="10.5703125" style="1" customWidth="1"/>
    <col min="5124" max="5124" width="12.28515625" style="1" customWidth="1"/>
    <col min="5125" max="5125" width="12.5703125" style="1" customWidth="1"/>
    <col min="5126" max="5126" width="1.5703125" style="1" customWidth="1"/>
    <col min="5127" max="5127" width="45.140625" style="1" customWidth="1"/>
    <col min="5128" max="5128" width="13.140625" style="1" customWidth="1"/>
    <col min="5129" max="5129" width="10.28515625" style="1" bestFit="1" customWidth="1"/>
    <col min="5130" max="5130" width="16.28515625" style="1" bestFit="1" customWidth="1"/>
    <col min="5131" max="5131" width="11.28515625" style="1" bestFit="1" customWidth="1"/>
    <col min="5132" max="5364" width="9.140625" style="1"/>
    <col min="5365" max="5365" width="5.140625" style="1" customWidth="1"/>
    <col min="5366" max="5366" width="33.5703125" style="1" customWidth="1"/>
    <col min="5367" max="5367" width="25.85546875" style="1" customWidth="1"/>
    <col min="5368" max="5368" width="0" style="1" hidden="1" customWidth="1"/>
    <col min="5369" max="5369" width="14.85546875" style="1" customWidth="1"/>
    <col min="5370" max="5370" width="13.85546875" style="1" customWidth="1"/>
    <col min="5371" max="5371" width="12.140625" style="1" customWidth="1"/>
    <col min="5372" max="5372" width="13.7109375" style="1" customWidth="1"/>
    <col min="5373" max="5373" width="8.5703125" style="1" customWidth="1"/>
    <col min="5374" max="5374" width="13" style="1" customWidth="1"/>
    <col min="5375" max="5375" width="9" style="1" customWidth="1"/>
    <col min="5376" max="5376" width="6.7109375" style="1" customWidth="1"/>
    <col min="5377" max="5377" width="9" style="1" customWidth="1"/>
    <col min="5378" max="5378" width="6.85546875" style="1" customWidth="1"/>
    <col min="5379" max="5379" width="10.5703125" style="1" customWidth="1"/>
    <col min="5380" max="5380" width="12.28515625" style="1" customWidth="1"/>
    <col min="5381" max="5381" width="12.5703125" style="1" customWidth="1"/>
    <col min="5382" max="5382" width="1.5703125" style="1" customWidth="1"/>
    <col min="5383" max="5383" width="45.140625" style="1" customWidth="1"/>
    <col min="5384" max="5384" width="13.140625" style="1" customWidth="1"/>
    <col min="5385" max="5385" width="10.28515625" style="1" bestFit="1" customWidth="1"/>
    <col min="5386" max="5386" width="16.28515625" style="1" bestFit="1" customWidth="1"/>
    <col min="5387" max="5387" width="11.28515625" style="1" bestFit="1" customWidth="1"/>
    <col min="5388" max="5620" width="9.140625" style="1"/>
    <col min="5621" max="5621" width="5.140625" style="1" customWidth="1"/>
    <col min="5622" max="5622" width="33.5703125" style="1" customWidth="1"/>
    <col min="5623" max="5623" width="25.85546875" style="1" customWidth="1"/>
    <col min="5624" max="5624" width="0" style="1" hidden="1" customWidth="1"/>
    <col min="5625" max="5625" width="14.85546875" style="1" customWidth="1"/>
    <col min="5626" max="5626" width="13.85546875" style="1" customWidth="1"/>
    <col min="5627" max="5627" width="12.140625" style="1" customWidth="1"/>
    <col min="5628" max="5628" width="13.7109375" style="1" customWidth="1"/>
    <col min="5629" max="5629" width="8.5703125" style="1" customWidth="1"/>
    <col min="5630" max="5630" width="13" style="1" customWidth="1"/>
    <col min="5631" max="5631" width="9" style="1" customWidth="1"/>
    <col min="5632" max="5632" width="6.7109375" style="1" customWidth="1"/>
    <col min="5633" max="5633" width="9" style="1" customWidth="1"/>
    <col min="5634" max="5634" width="6.85546875" style="1" customWidth="1"/>
    <col min="5635" max="5635" width="10.5703125" style="1" customWidth="1"/>
    <col min="5636" max="5636" width="12.28515625" style="1" customWidth="1"/>
    <col min="5637" max="5637" width="12.5703125" style="1" customWidth="1"/>
    <col min="5638" max="5638" width="1.5703125" style="1" customWidth="1"/>
    <col min="5639" max="5639" width="45.140625" style="1" customWidth="1"/>
    <col min="5640" max="5640" width="13.140625" style="1" customWidth="1"/>
    <col min="5641" max="5641" width="10.28515625" style="1" bestFit="1" customWidth="1"/>
    <col min="5642" max="5642" width="16.28515625" style="1" bestFit="1" customWidth="1"/>
    <col min="5643" max="5643" width="11.28515625" style="1" bestFit="1" customWidth="1"/>
    <col min="5644" max="5876" width="9.140625" style="1"/>
    <col min="5877" max="5877" width="5.140625" style="1" customWidth="1"/>
    <col min="5878" max="5878" width="33.5703125" style="1" customWidth="1"/>
    <col min="5879" max="5879" width="25.85546875" style="1" customWidth="1"/>
    <col min="5880" max="5880" width="0" style="1" hidden="1" customWidth="1"/>
    <col min="5881" max="5881" width="14.85546875" style="1" customWidth="1"/>
    <col min="5882" max="5882" width="13.85546875" style="1" customWidth="1"/>
    <col min="5883" max="5883" width="12.140625" style="1" customWidth="1"/>
    <col min="5884" max="5884" width="13.7109375" style="1" customWidth="1"/>
    <col min="5885" max="5885" width="8.5703125" style="1" customWidth="1"/>
    <col min="5886" max="5886" width="13" style="1" customWidth="1"/>
    <col min="5887" max="5887" width="9" style="1" customWidth="1"/>
    <col min="5888" max="5888" width="6.7109375" style="1" customWidth="1"/>
    <col min="5889" max="5889" width="9" style="1" customWidth="1"/>
    <col min="5890" max="5890" width="6.85546875" style="1" customWidth="1"/>
    <col min="5891" max="5891" width="10.5703125" style="1" customWidth="1"/>
    <col min="5892" max="5892" width="12.28515625" style="1" customWidth="1"/>
    <col min="5893" max="5893" width="12.5703125" style="1" customWidth="1"/>
    <col min="5894" max="5894" width="1.5703125" style="1" customWidth="1"/>
    <col min="5895" max="5895" width="45.140625" style="1" customWidth="1"/>
    <col min="5896" max="5896" width="13.140625" style="1" customWidth="1"/>
    <col min="5897" max="5897" width="10.28515625" style="1" bestFit="1" customWidth="1"/>
    <col min="5898" max="5898" width="16.28515625" style="1" bestFit="1" customWidth="1"/>
    <col min="5899" max="5899" width="11.28515625" style="1" bestFit="1" customWidth="1"/>
    <col min="5900" max="6132" width="9.140625" style="1"/>
    <col min="6133" max="6133" width="5.140625" style="1" customWidth="1"/>
    <col min="6134" max="6134" width="33.5703125" style="1" customWidth="1"/>
    <col min="6135" max="6135" width="25.85546875" style="1" customWidth="1"/>
    <col min="6136" max="6136" width="0" style="1" hidden="1" customWidth="1"/>
    <col min="6137" max="6137" width="14.85546875" style="1" customWidth="1"/>
    <col min="6138" max="6138" width="13.85546875" style="1" customWidth="1"/>
    <col min="6139" max="6139" width="12.140625" style="1" customWidth="1"/>
    <col min="6140" max="6140" width="13.7109375" style="1" customWidth="1"/>
    <col min="6141" max="6141" width="8.5703125" style="1" customWidth="1"/>
    <col min="6142" max="6142" width="13" style="1" customWidth="1"/>
    <col min="6143" max="6143" width="9" style="1" customWidth="1"/>
    <col min="6144" max="6144" width="6.7109375" style="1" customWidth="1"/>
    <col min="6145" max="6145" width="9" style="1" customWidth="1"/>
    <col min="6146" max="6146" width="6.85546875" style="1" customWidth="1"/>
    <col min="6147" max="6147" width="10.5703125" style="1" customWidth="1"/>
    <col min="6148" max="6148" width="12.28515625" style="1" customWidth="1"/>
    <col min="6149" max="6149" width="12.5703125" style="1" customWidth="1"/>
    <col min="6150" max="6150" width="1.5703125" style="1" customWidth="1"/>
    <col min="6151" max="6151" width="45.140625" style="1" customWidth="1"/>
    <col min="6152" max="6152" width="13.140625" style="1" customWidth="1"/>
    <col min="6153" max="6153" width="10.28515625" style="1" bestFit="1" customWidth="1"/>
    <col min="6154" max="6154" width="16.28515625" style="1" bestFit="1" customWidth="1"/>
    <col min="6155" max="6155" width="11.28515625" style="1" bestFit="1" customWidth="1"/>
    <col min="6156" max="6388" width="9.140625" style="1"/>
    <col min="6389" max="6389" width="5.140625" style="1" customWidth="1"/>
    <col min="6390" max="6390" width="33.5703125" style="1" customWidth="1"/>
    <col min="6391" max="6391" width="25.85546875" style="1" customWidth="1"/>
    <col min="6392" max="6392" width="0" style="1" hidden="1" customWidth="1"/>
    <col min="6393" max="6393" width="14.85546875" style="1" customWidth="1"/>
    <col min="6394" max="6394" width="13.85546875" style="1" customWidth="1"/>
    <col min="6395" max="6395" width="12.140625" style="1" customWidth="1"/>
    <col min="6396" max="6396" width="13.7109375" style="1" customWidth="1"/>
    <col min="6397" max="6397" width="8.5703125" style="1" customWidth="1"/>
    <col min="6398" max="6398" width="13" style="1" customWidth="1"/>
    <col min="6399" max="6399" width="9" style="1" customWidth="1"/>
    <col min="6400" max="6400" width="6.7109375" style="1" customWidth="1"/>
    <col min="6401" max="6401" width="9" style="1" customWidth="1"/>
    <col min="6402" max="6402" width="6.85546875" style="1" customWidth="1"/>
    <col min="6403" max="6403" width="10.5703125" style="1" customWidth="1"/>
    <col min="6404" max="6404" width="12.28515625" style="1" customWidth="1"/>
    <col min="6405" max="6405" width="12.5703125" style="1" customWidth="1"/>
    <col min="6406" max="6406" width="1.5703125" style="1" customWidth="1"/>
    <col min="6407" max="6407" width="45.140625" style="1" customWidth="1"/>
    <col min="6408" max="6408" width="13.140625" style="1" customWidth="1"/>
    <col min="6409" max="6409" width="10.28515625" style="1" bestFit="1" customWidth="1"/>
    <col min="6410" max="6410" width="16.28515625" style="1" bestFit="1" customWidth="1"/>
    <col min="6411" max="6411" width="11.28515625" style="1" bestFit="1" customWidth="1"/>
    <col min="6412" max="6644" width="9.140625" style="1"/>
    <col min="6645" max="6645" width="5.140625" style="1" customWidth="1"/>
    <col min="6646" max="6646" width="33.5703125" style="1" customWidth="1"/>
    <col min="6647" max="6647" width="25.85546875" style="1" customWidth="1"/>
    <col min="6648" max="6648" width="0" style="1" hidden="1" customWidth="1"/>
    <col min="6649" max="6649" width="14.85546875" style="1" customWidth="1"/>
    <col min="6650" max="6650" width="13.85546875" style="1" customWidth="1"/>
    <col min="6651" max="6651" width="12.140625" style="1" customWidth="1"/>
    <col min="6652" max="6652" width="13.7109375" style="1" customWidth="1"/>
    <col min="6653" max="6653" width="8.5703125" style="1" customWidth="1"/>
    <col min="6654" max="6654" width="13" style="1" customWidth="1"/>
    <col min="6655" max="6655" width="9" style="1" customWidth="1"/>
    <col min="6656" max="6656" width="6.7109375" style="1" customWidth="1"/>
    <col min="6657" max="6657" width="9" style="1" customWidth="1"/>
    <col min="6658" max="6658" width="6.85546875" style="1" customWidth="1"/>
    <col min="6659" max="6659" width="10.5703125" style="1" customWidth="1"/>
    <col min="6660" max="6660" width="12.28515625" style="1" customWidth="1"/>
    <col min="6661" max="6661" width="12.5703125" style="1" customWidth="1"/>
    <col min="6662" max="6662" width="1.5703125" style="1" customWidth="1"/>
    <col min="6663" max="6663" width="45.140625" style="1" customWidth="1"/>
    <col min="6664" max="6664" width="13.140625" style="1" customWidth="1"/>
    <col min="6665" max="6665" width="10.28515625" style="1" bestFit="1" customWidth="1"/>
    <col min="6666" max="6666" width="16.28515625" style="1" bestFit="1" customWidth="1"/>
    <col min="6667" max="6667" width="11.28515625" style="1" bestFit="1" customWidth="1"/>
    <col min="6668" max="6900" width="9.140625" style="1"/>
    <col min="6901" max="6901" width="5.140625" style="1" customWidth="1"/>
    <col min="6902" max="6902" width="33.5703125" style="1" customWidth="1"/>
    <col min="6903" max="6903" width="25.85546875" style="1" customWidth="1"/>
    <col min="6904" max="6904" width="0" style="1" hidden="1" customWidth="1"/>
    <col min="6905" max="6905" width="14.85546875" style="1" customWidth="1"/>
    <col min="6906" max="6906" width="13.85546875" style="1" customWidth="1"/>
    <col min="6907" max="6907" width="12.140625" style="1" customWidth="1"/>
    <col min="6908" max="6908" width="13.7109375" style="1" customWidth="1"/>
    <col min="6909" max="6909" width="8.5703125" style="1" customWidth="1"/>
    <col min="6910" max="6910" width="13" style="1" customWidth="1"/>
    <col min="6911" max="6911" width="9" style="1" customWidth="1"/>
    <col min="6912" max="6912" width="6.7109375" style="1" customWidth="1"/>
    <col min="6913" max="6913" width="9" style="1" customWidth="1"/>
    <col min="6914" max="6914" width="6.85546875" style="1" customWidth="1"/>
    <col min="6915" max="6915" width="10.5703125" style="1" customWidth="1"/>
    <col min="6916" max="6916" width="12.28515625" style="1" customWidth="1"/>
    <col min="6917" max="6917" width="12.5703125" style="1" customWidth="1"/>
    <col min="6918" max="6918" width="1.5703125" style="1" customWidth="1"/>
    <col min="6919" max="6919" width="45.140625" style="1" customWidth="1"/>
    <col min="6920" max="6920" width="13.140625" style="1" customWidth="1"/>
    <col min="6921" max="6921" width="10.28515625" style="1" bestFit="1" customWidth="1"/>
    <col min="6922" max="6922" width="16.28515625" style="1" bestFit="1" customWidth="1"/>
    <col min="6923" max="6923" width="11.28515625" style="1" bestFit="1" customWidth="1"/>
    <col min="6924" max="7156" width="9.140625" style="1"/>
    <col min="7157" max="7157" width="5.140625" style="1" customWidth="1"/>
    <col min="7158" max="7158" width="33.5703125" style="1" customWidth="1"/>
    <col min="7159" max="7159" width="25.85546875" style="1" customWidth="1"/>
    <col min="7160" max="7160" width="0" style="1" hidden="1" customWidth="1"/>
    <col min="7161" max="7161" width="14.85546875" style="1" customWidth="1"/>
    <col min="7162" max="7162" width="13.85546875" style="1" customWidth="1"/>
    <col min="7163" max="7163" width="12.140625" style="1" customWidth="1"/>
    <col min="7164" max="7164" width="13.7109375" style="1" customWidth="1"/>
    <col min="7165" max="7165" width="8.5703125" style="1" customWidth="1"/>
    <col min="7166" max="7166" width="13" style="1" customWidth="1"/>
    <col min="7167" max="7167" width="9" style="1" customWidth="1"/>
    <col min="7168" max="7168" width="6.7109375" style="1" customWidth="1"/>
    <col min="7169" max="7169" width="9" style="1" customWidth="1"/>
    <col min="7170" max="7170" width="6.85546875" style="1" customWidth="1"/>
    <col min="7171" max="7171" width="10.5703125" style="1" customWidth="1"/>
    <col min="7172" max="7172" width="12.28515625" style="1" customWidth="1"/>
    <col min="7173" max="7173" width="12.5703125" style="1" customWidth="1"/>
    <col min="7174" max="7174" width="1.5703125" style="1" customWidth="1"/>
    <col min="7175" max="7175" width="45.140625" style="1" customWidth="1"/>
    <col min="7176" max="7176" width="13.140625" style="1" customWidth="1"/>
    <col min="7177" max="7177" width="10.28515625" style="1" bestFit="1" customWidth="1"/>
    <col min="7178" max="7178" width="16.28515625" style="1" bestFit="1" customWidth="1"/>
    <col min="7179" max="7179" width="11.28515625" style="1" bestFit="1" customWidth="1"/>
    <col min="7180" max="7412" width="9.140625" style="1"/>
    <col min="7413" max="7413" width="5.140625" style="1" customWidth="1"/>
    <col min="7414" max="7414" width="33.5703125" style="1" customWidth="1"/>
    <col min="7415" max="7415" width="25.85546875" style="1" customWidth="1"/>
    <col min="7416" max="7416" width="0" style="1" hidden="1" customWidth="1"/>
    <col min="7417" max="7417" width="14.85546875" style="1" customWidth="1"/>
    <col min="7418" max="7418" width="13.85546875" style="1" customWidth="1"/>
    <col min="7419" max="7419" width="12.140625" style="1" customWidth="1"/>
    <col min="7420" max="7420" width="13.7109375" style="1" customWidth="1"/>
    <col min="7421" max="7421" width="8.5703125" style="1" customWidth="1"/>
    <col min="7422" max="7422" width="13" style="1" customWidth="1"/>
    <col min="7423" max="7423" width="9" style="1" customWidth="1"/>
    <col min="7424" max="7424" width="6.7109375" style="1" customWidth="1"/>
    <col min="7425" max="7425" width="9" style="1" customWidth="1"/>
    <col min="7426" max="7426" width="6.85546875" style="1" customWidth="1"/>
    <col min="7427" max="7427" width="10.5703125" style="1" customWidth="1"/>
    <col min="7428" max="7428" width="12.28515625" style="1" customWidth="1"/>
    <col min="7429" max="7429" width="12.5703125" style="1" customWidth="1"/>
    <col min="7430" max="7430" width="1.5703125" style="1" customWidth="1"/>
    <col min="7431" max="7431" width="45.140625" style="1" customWidth="1"/>
    <col min="7432" max="7432" width="13.140625" style="1" customWidth="1"/>
    <col min="7433" max="7433" width="10.28515625" style="1" bestFit="1" customWidth="1"/>
    <col min="7434" max="7434" width="16.28515625" style="1" bestFit="1" customWidth="1"/>
    <col min="7435" max="7435" width="11.28515625" style="1" bestFit="1" customWidth="1"/>
    <col min="7436" max="7668" width="9.140625" style="1"/>
    <col min="7669" max="7669" width="5.140625" style="1" customWidth="1"/>
    <col min="7670" max="7670" width="33.5703125" style="1" customWidth="1"/>
    <col min="7671" max="7671" width="25.85546875" style="1" customWidth="1"/>
    <col min="7672" max="7672" width="0" style="1" hidden="1" customWidth="1"/>
    <col min="7673" max="7673" width="14.85546875" style="1" customWidth="1"/>
    <col min="7674" max="7674" width="13.85546875" style="1" customWidth="1"/>
    <col min="7675" max="7675" width="12.140625" style="1" customWidth="1"/>
    <col min="7676" max="7676" width="13.7109375" style="1" customWidth="1"/>
    <col min="7677" max="7677" width="8.5703125" style="1" customWidth="1"/>
    <col min="7678" max="7678" width="13" style="1" customWidth="1"/>
    <col min="7679" max="7679" width="9" style="1" customWidth="1"/>
    <col min="7680" max="7680" width="6.7109375" style="1" customWidth="1"/>
    <col min="7681" max="7681" width="9" style="1" customWidth="1"/>
    <col min="7682" max="7682" width="6.85546875" style="1" customWidth="1"/>
    <col min="7683" max="7683" width="10.5703125" style="1" customWidth="1"/>
    <col min="7684" max="7684" width="12.28515625" style="1" customWidth="1"/>
    <col min="7685" max="7685" width="12.5703125" style="1" customWidth="1"/>
    <col min="7686" max="7686" width="1.5703125" style="1" customWidth="1"/>
    <col min="7687" max="7687" width="45.140625" style="1" customWidth="1"/>
    <col min="7688" max="7688" width="13.140625" style="1" customWidth="1"/>
    <col min="7689" max="7689" width="10.28515625" style="1" bestFit="1" customWidth="1"/>
    <col min="7690" max="7690" width="16.28515625" style="1" bestFit="1" customWidth="1"/>
    <col min="7691" max="7691" width="11.28515625" style="1" bestFit="1" customWidth="1"/>
    <col min="7692" max="7924" width="9.140625" style="1"/>
    <col min="7925" max="7925" width="5.140625" style="1" customWidth="1"/>
    <col min="7926" max="7926" width="33.5703125" style="1" customWidth="1"/>
    <col min="7927" max="7927" width="25.85546875" style="1" customWidth="1"/>
    <col min="7928" max="7928" width="0" style="1" hidden="1" customWidth="1"/>
    <col min="7929" max="7929" width="14.85546875" style="1" customWidth="1"/>
    <col min="7930" max="7930" width="13.85546875" style="1" customWidth="1"/>
    <col min="7931" max="7931" width="12.140625" style="1" customWidth="1"/>
    <col min="7932" max="7932" width="13.7109375" style="1" customWidth="1"/>
    <col min="7933" max="7933" width="8.5703125" style="1" customWidth="1"/>
    <col min="7934" max="7934" width="13" style="1" customWidth="1"/>
    <col min="7935" max="7935" width="9" style="1" customWidth="1"/>
    <col min="7936" max="7936" width="6.7109375" style="1" customWidth="1"/>
    <col min="7937" max="7937" width="9" style="1" customWidth="1"/>
    <col min="7938" max="7938" width="6.85546875" style="1" customWidth="1"/>
    <col min="7939" max="7939" width="10.5703125" style="1" customWidth="1"/>
    <col min="7940" max="7940" width="12.28515625" style="1" customWidth="1"/>
    <col min="7941" max="7941" width="12.5703125" style="1" customWidth="1"/>
    <col min="7942" max="7942" width="1.5703125" style="1" customWidth="1"/>
    <col min="7943" max="7943" width="45.140625" style="1" customWidth="1"/>
    <col min="7944" max="7944" width="13.140625" style="1" customWidth="1"/>
    <col min="7945" max="7945" width="10.28515625" style="1" bestFit="1" customWidth="1"/>
    <col min="7946" max="7946" width="16.28515625" style="1" bestFit="1" customWidth="1"/>
    <col min="7947" max="7947" width="11.28515625" style="1" bestFit="1" customWidth="1"/>
    <col min="7948" max="8180" width="9.140625" style="1"/>
    <col min="8181" max="8181" width="5.140625" style="1" customWidth="1"/>
    <col min="8182" max="8182" width="33.5703125" style="1" customWidth="1"/>
    <col min="8183" max="8183" width="25.85546875" style="1" customWidth="1"/>
    <col min="8184" max="8184" width="0" style="1" hidden="1" customWidth="1"/>
    <col min="8185" max="8185" width="14.85546875" style="1" customWidth="1"/>
    <col min="8186" max="8186" width="13.85546875" style="1" customWidth="1"/>
    <col min="8187" max="8187" width="12.140625" style="1" customWidth="1"/>
    <col min="8188" max="8188" width="13.7109375" style="1" customWidth="1"/>
    <col min="8189" max="8189" width="8.5703125" style="1" customWidth="1"/>
    <col min="8190" max="8190" width="13" style="1" customWidth="1"/>
    <col min="8191" max="8191" width="9" style="1" customWidth="1"/>
    <col min="8192" max="8192" width="6.7109375" style="1" customWidth="1"/>
    <col min="8193" max="8193" width="9" style="1" customWidth="1"/>
    <col min="8194" max="8194" width="6.85546875" style="1" customWidth="1"/>
    <col min="8195" max="8195" width="10.5703125" style="1" customWidth="1"/>
    <col min="8196" max="8196" width="12.28515625" style="1" customWidth="1"/>
    <col min="8197" max="8197" width="12.5703125" style="1" customWidth="1"/>
    <col min="8198" max="8198" width="1.5703125" style="1" customWidth="1"/>
    <col min="8199" max="8199" width="45.140625" style="1" customWidth="1"/>
    <col min="8200" max="8200" width="13.140625" style="1" customWidth="1"/>
    <col min="8201" max="8201" width="10.28515625" style="1" bestFit="1" customWidth="1"/>
    <col min="8202" max="8202" width="16.28515625" style="1" bestFit="1" customWidth="1"/>
    <col min="8203" max="8203" width="11.28515625" style="1" bestFit="1" customWidth="1"/>
    <col min="8204" max="8436" width="9.140625" style="1"/>
    <col min="8437" max="8437" width="5.140625" style="1" customWidth="1"/>
    <col min="8438" max="8438" width="33.5703125" style="1" customWidth="1"/>
    <col min="8439" max="8439" width="25.85546875" style="1" customWidth="1"/>
    <col min="8440" max="8440" width="0" style="1" hidden="1" customWidth="1"/>
    <col min="8441" max="8441" width="14.85546875" style="1" customWidth="1"/>
    <col min="8442" max="8442" width="13.85546875" style="1" customWidth="1"/>
    <col min="8443" max="8443" width="12.140625" style="1" customWidth="1"/>
    <col min="8444" max="8444" width="13.7109375" style="1" customWidth="1"/>
    <col min="8445" max="8445" width="8.5703125" style="1" customWidth="1"/>
    <col min="8446" max="8446" width="13" style="1" customWidth="1"/>
    <col min="8447" max="8447" width="9" style="1" customWidth="1"/>
    <col min="8448" max="8448" width="6.7109375" style="1" customWidth="1"/>
    <col min="8449" max="8449" width="9" style="1" customWidth="1"/>
    <col min="8450" max="8450" width="6.85546875" style="1" customWidth="1"/>
    <col min="8451" max="8451" width="10.5703125" style="1" customWidth="1"/>
    <col min="8452" max="8452" width="12.28515625" style="1" customWidth="1"/>
    <col min="8453" max="8453" width="12.5703125" style="1" customWidth="1"/>
    <col min="8454" max="8454" width="1.5703125" style="1" customWidth="1"/>
    <col min="8455" max="8455" width="45.140625" style="1" customWidth="1"/>
    <col min="8456" max="8456" width="13.140625" style="1" customWidth="1"/>
    <col min="8457" max="8457" width="10.28515625" style="1" bestFit="1" customWidth="1"/>
    <col min="8458" max="8458" width="16.28515625" style="1" bestFit="1" customWidth="1"/>
    <col min="8459" max="8459" width="11.28515625" style="1" bestFit="1" customWidth="1"/>
    <col min="8460" max="8692" width="9.140625" style="1"/>
    <col min="8693" max="8693" width="5.140625" style="1" customWidth="1"/>
    <col min="8694" max="8694" width="33.5703125" style="1" customWidth="1"/>
    <col min="8695" max="8695" width="25.85546875" style="1" customWidth="1"/>
    <col min="8696" max="8696" width="0" style="1" hidden="1" customWidth="1"/>
    <col min="8697" max="8697" width="14.85546875" style="1" customWidth="1"/>
    <col min="8698" max="8698" width="13.85546875" style="1" customWidth="1"/>
    <col min="8699" max="8699" width="12.140625" style="1" customWidth="1"/>
    <col min="8700" max="8700" width="13.7109375" style="1" customWidth="1"/>
    <col min="8701" max="8701" width="8.5703125" style="1" customWidth="1"/>
    <col min="8702" max="8702" width="13" style="1" customWidth="1"/>
    <col min="8703" max="8703" width="9" style="1" customWidth="1"/>
    <col min="8704" max="8704" width="6.7109375" style="1" customWidth="1"/>
    <col min="8705" max="8705" width="9" style="1" customWidth="1"/>
    <col min="8706" max="8706" width="6.85546875" style="1" customWidth="1"/>
    <col min="8707" max="8707" width="10.5703125" style="1" customWidth="1"/>
    <col min="8708" max="8708" width="12.28515625" style="1" customWidth="1"/>
    <col min="8709" max="8709" width="12.5703125" style="1" customWidth="1"/>
    <col min="8710" max="8710" width="1.5703125" style="1" customWidth="1"/>
    <col min="8711" max="8711" width="45.140625" style="1" customWidth="1"/>
    <col min="8712" max="8712" width="13.140625" style="1" customWidth="1"/>
    <col min="8713" max="8713" width="10.28515625" style="1" bestFit="1" customWidth="1"/>
    <col min="8714" max="8714" width="16.28515625" style="1" bestFit="1" customWidth="1"/>
    <col min="8715" max="8715" width="11.28515625" style="1" bestFit="1" customWidth="1"/>
    <col min="8716" max="8948" width="9.140625" style="1"/>
    <col min="8949" max="8949" width="5.140625" style="1" customWidth="1"/>
    <col min="8950" max="8950" width="33.5703125" style="1" customWidth="1"/>
    <col min="8951" max="8951" width="25.85546875" style="1" customWidth="1"/>
    <col min="8952" max="8952" width="0" style="1" hidden="1" customWidth="1"/>
    <col min="8953" max="8953" width="14.85546875" style="1" customWidth="1"/>
    <col min="8954" max="8954" width="13.85546875" style="1" customWidth="1"/>
    <col min="8955" max="8955" width="12.140625" style="1" customWidth="1"/>
    <col min="8956" max="8956" width="13.7109375" style="1" customWidth="1"/>
    <col min="8957" max="8957" width="8.5703125" style="1" customWidth="1"/>
    <col min="8958" max="8958" width="13" style="1" customWidth="1"/>
    <col min="8959" max="8959" width="9" style="1" customWidth="1"/>
    <col min="8960" max="8960" width="6.7109375" style="1" customWidth="1"/>
    <col min="8961" max="8961" width="9" style="1" customWidth="1"/>
    <col min="8962" max="8962" width="6.85546875" style="1" customWidth="1"/>
    <col min="8963" max="8963" width="10.5703125" style="1" customWidth="1"/>
    <col min="8964" max="8964" width="12.28515625" style="1" customWidth="1"/>
    <col min="8965" max="8965" width="12.5703125" style="1" customWidth="1"/>
    <col min="8966" max="8966" width="1.5703125" style="1" customWidth="1"/>
    <col min="8967" max="8967" width="45.140625" style="1" customWidth="1"/>
    <col min="8968" max="8968" width="13.140625" style="1" customWidth="1"/>
    <col min="8969" max="8969" width="10.28515625" style="1" bestFit="1" customWidth="1"/>
    <col min="8970" max="8970" width="16.28515625" style="1" bestFit="1" customWidth="1"/>
    <col min="8971" max="8971" width="11.28515625" style="1" bestFit="1" customWidth="1"/>
    <col min="8972" max="9204" width="9.140625" style="1"/>
    <col min="9205" max="9205" width="5.140625" style="1" customWidth="1"/>
    <col min="9206" max="9206" width="33.5703125" style="1" customWidth="1"/>
    <col min="9207" max="9207" width="25.85546875" style="1" customWidth="1"/>
    <col min="9208" max="9208" width="0" style="1" hidden="1" customWidth="1"/>
    <col min="9209" max="9209" width="14.85546875" style="1" customWidth="1"/>
    <col min="9210" max="9210" width="13.85546875" style="1" customWidth="1"/>
    <col min="9211" max="9211" width="12.140625" style="1" customWidth="1"/>
    <col min="9212" max="9212" width="13.7109375" style="1" customWidth="1"/>
    <col min="9213" max="9213" width="8.5703125" style="1" customWidth="1"/>
    <col min="9214" max="9214" width="13" style="1" customWidth="1"/>
    <col min="9215" max="9215" width="9" style="1" customWidth="1"/>
    <col min="9216" max="9216" width="6.7109375" style="1" customWidth="1"/>
    <col min="9217" max="9217" width="9" style="1" customWidth="1"/>
    <col min="9218" max="9218" width="6.85546875" style="1" customWidth="1"/>
    <col min="9219" max="9219" width="10.5703125" style="1" customWidth="1"/>
    <col min="9220" max="9220" width="12.28515625" style="1" customWidth="1"/>
    <col min="9221" max="9221" width="12.5703125" style="1" customWidth="1"/>
    <col min="9222" max="9222" width="1.5703125" style="1" customWidth="1"/>
    <col min="9223" max="9223" width="45.140625" style="1" customWidth="1"/>
    <col min="9224" max="9224" width="13.140625" style="1" customWidth="1"/>
    <col min="9225" max="9225" width="10.28515625" style="1" bestFit="1" customWidth="1"/>
    <col min="9226" max="9226" width="16.28515625" style="1" bestFit="1" customWidth="1"/>
    <col min="9227" max="9227" width="11.28515625" style="1" bestFit="1" customWidth="1"/>
    <col min="9228" max="9460" width="9.140625" style="1"/>
    <col min="9461" max="9461" width="5.140625" style="1" customWidth="1"/>
    <col min="9462" max="9462" width="33.5703125" style="1" customWidth="1"/>
    <col min="9463" max="9463" width="25.85546875" style="1" customWidth="1"/>
    <col min="9464" max="9464" width="0" style="1" hidden="1" customWidth="1"/>
    <col min="9465" max="9465" width="14.85546875" style="1" customWidth="1"/>
    <col min="9466" max="9466" width="13.85546875" style="1" customWidth="1"/>
    <col min="9467" max="9467" width="12.140625" style="1" customWidth="1"/>
    <col min="9468" max="9468" width="13.7109375" style="1" customWidth="1"/>
    <col min="9469" max="9469" width="8.5703125" style="1" customWidth="1"/>
    <col min="9470" max="9470" width="13" style="1" customWidth="1"/>
    <col min="9471" max="9471" width="9" style="1" customWidth="1"/>
    <col min="9472" max="9472" width="6.7109375" style="1" customWidth="1"/>
    <col min="9473" max="9473" width="9" style="1" customWidth="1"/>
    <col min="9474" max="9474" width="6.85546875" style="1" customWidth="1"/>
    <col min="9475" max="9475" width="10.5703125" style="1" customWidth="1"/>
    <col min="9476" max="9476" width="12.28515625" style="1" customWidth="1"/>
    <col min="9477" max="9477" width="12.5703125" style="1" customWidth="1"/>
    <col min="9478" max="9478" width="1.5703125" style="1" customWidth="1"/>
    <col min="9479" max="9479" width="45.140625" style="1" customWidth="1"/>
    <col min="9480" max="9480" width="13.140625" style="1" customWidth="1"/>
    <col min="9481" max="9481" width="10.28515625" style="1" bestFit="1" customWidth="1"/>
    <col min="9482" max="9482" width="16.28515625" style="1" bestFit="1" customWidth="1"/>
    <col min="9483" max="9483" width="11.28515625" style="1" bestFit="1" customWidth="1"/>
    <col min="9484" max="9716" width="9.140625" style="1"/>
    <col min="9717" max="9717" width="5.140625" style="1" customWidth="1"/>
    <col min="9718" max="9718" width="33.5703125" style="1" customWidth="1"/>
    <col min="9719" max="9719" width="25.85546875" style="1" customWidth="1"/>
    <col min="9720" max="9720" width="0" style="1" hidden="1" customWidth="1"/>
    <col min="9721" max="9721" width="14.85546875" style="1" customWidth="1"/>
    <col min="9722" max="9722" width="13.85546875" style="1" customWidth="1"/>
    <col min="9723" max="9723" width="12.140625" style="1" customWidth="1"/>
    <col min="9724" max="9724" width="13.7109375" style="1" customWidth="1"/>
    <col min="9725" max="9725" width="8.5703125" style="1" customWidth="1"/>
    <col min="9726" max="9726" width="13" style="1" customWidth="1"/>
    <col min="9727" max="9727" width="9" style="1" customWidth="1"/>
    <col min="9728" max="9728" width="6.7109375" style="1" customWidth="1"/>
    <col min="9729" max="9729" width="9" style="1" customWidth="1"/>
    <col min="9730" max="9730" width="6.85546875" style="1" customWidth="1"/>
    <col min="9731" max="9731" width="10.5703125" style="1" customWidth="1"/>
    <col min="9732" max="9732" width="12.28515625" style="1" customWidth="1"/>
    <col min="9733" max="9733" width="12.5703125" style="1" customWidth="1"/>
    <col min="9734" max="9734" width="1.5703125" style="1" customWidth="1"/>
    <col min="9735" max="9735" width="45.140625" style="1" customWidth="1"/>
    <col min="9736" max="9736" width="13.140625" style="1" customWidth="1"/>
    <col min="9737" max="9737" width="10.28515625" style="1" bestFit="1" customWidth="1"/>
    <col min="9738" max="9738" width="16.28515625" style="1" bestFit="1" customWidth="1"/>
    <col min="9739" max="9739" width="11.28515625" style="1" bestFit="1" customWidth="1"/>
    <col min="9740" max="9972" width="9.140625" style="1"/>
    <col min="9973" max="9973" width="5.140625" style="1" customWidth="1"/>
    <col min="9974" max="9974" width="33.5703125" style="1" customWidth="1"/>
    <col min="9975" max="9975" width="25.85546875" style="1" customWidth="1"/>
    <col min="9976" max="9976" width="0" style="1" hidden="1" customWidth="1"/>
    <col min="9977" max="9977" width="14.85546875" style="1" customWidth="1"/>
    <col min="9978" max="9978" width="13.85546875" style="1" customWidth="1"/>
    <col min="9979" max="9979" width="12.140625" style="1" customWidth="1"/>
    <col min="9980" max="9980" width="13.7109375" style="1" customWidth="1"/>
    <col min="9981" max="9981" width="8.5703125" style="1" customWidth="1"/>
    <col min="9982" max="9982" width="13" style="1" customWidth="1"/>
    <col min="9983" max="9983" width="9" style="1" customWidth="1"/>
    <col min="9984" max="9984" width="6.7109375" style="1" customWidth="1"/>
    <col min="9985" max="9985" width="9" style="1" customWidth="1"/>
    <col min="9986" max="9986" width="6.85546875" style="1" customWidth="1"/>
    <col min="9987" max="9987" width="10.5703125" style="1" customWidth="1"/>
    <col min="9988" max="9988" width="12.28515625" style="1" customWidth="1"/>
    <col min="9989" max="9989" width="12.5703125" style="1" customWidth="1"/>
    <col min="9990" max="9990" width="1.5703125" style="1" customWidth="1"/>
    <col min="9991" max="9991" width="45.140625" style="1" customWidth="1"/>
    <col min="9992" max="9992" width="13.140625" style="1" customWidth="1"/>
    <col min="9993" max="9993" width="10.28515625" style="1" bestFit="1" customWidth="1"/>
    <col min="9994" max="9994" width="16.28515625" style="1" bestFit="1" customWidth="1"/>
    <col min="9995" max="9995" width="11.28515625" style="1" bestFit="1" customWidth="1"/>
    <col min="9996" max="10228" width="9.140625" style="1"/>
    <col min="10229" max="10229" width="5.140625" style="1" customWidth="1"/>
    <col min="10230" max="10230" width="33.5703125" style="1" customWidth="1"/>
    <col min="10231" max="10231" width="25.85546875" style="1" customWidth="1"/>
    <col min="10232" max="10232" width="0" style="1" hidden="1" customWidth="1"/>
    <col min="10233" max="10233" width="14.85546875" style="1" customWidth="1"/>
    <col min="10234" max="10234" width="13.85546875" style="1" customWidth="1"/>
    <col min="10235" max="10235" width="12.140625" style="1" customWidth="1"/>
    <col min="10236" max="10236" width="13.7109375" style="1" customWidth="1"/>
    <col min="10237" max="10237" width="8.5703125" style="1" customWidth="1"/>
    <col min="10238" max="10238" width="13" style="1" customWidth="1"/>
    <col min="10239" max="10239" width="9" style="1" customWidth="1"/>
    <col min="10240" max="10240" width="6.7109375" style="1" customWidth="1"/>
    <col min="10241" max="10241" width="9" style="1" customWidth="1"/>
    <col min="10242" max="10242" width="6.85546875" style="1" customWidth="1"/>
    <col min="10243" max="10243" width="10.5703125" style="1" customWidth="1"/>
    <col min="10244" max="10244" width="12.28515625" style="1" customWidth="1"/>
    <col min="10245" max="10245" width="12.5703125" style="1" customWidth="1"/>
    <col min="10246" max="10246" width="1.5703125" style="1" customWidth="1"/>
    <col min="10247" max="10247" width="45.140625" style="1" customWidth="1"/>
    <col min="10248" max="10248" width="13.140625" style="1" customWidth="1"/>
    <col min="10249" max="10249" width="10.28515625" style="1" bestFit="1" customWidth="1"/>
    <col min="10250" max="10250" width="16.28515625" style="1" bestFit="1" customWidth="1"/>
    <col min="10251" max="10251" width="11.28515625" style="1" bestFit="1" customWidth="1"/>
    <col min="10252" max="10484" width="9.140625" style="1"/>
    <col min="10485" max="10485" width="5.140625" style="1" customWidth="1"/>
    <col min="10486" max="10486" width="33.5703125" style="1" customWidth="1"/>
    <col min="10487" max="10487" width="25.85546875" style="1" customWidth="1"/>
    <col min="10488" max="10488" width="0" style="1" hidden="1" customWidth="1"/>
    <col min="10489" max="10489" width="14.85546875" style="1" customWidth="1"/>
    <col min="10490" max="10490" width="13.85546875" style="1" customWidth="1"/>
    <col min="10491" max="10491" width="12.140625" style="1" customWidth="1"/>
    <col min="10492" max="10492" width="13.7109375" style="1" customWidth="1"/>
    <col min="10493" max="10493" width="8.5703125" style="1" customWidth="1"/>
    <col min="10494" max="10494" width="13" style="1" customWidth="1"/>
    <col min="10495" max="10495" width="9" style="1" customWidth="1"/>
    <col min="10496" max="10496" width="6.7109375" style="1" customWidth="1"/>
    <col min="10497" max="10497" width="9" style="1" customWidth="1"/>
    <col min="10498" max="10498" width="6.85546875" style="1" customWidth="1"/>
    <col min="10499" max="10499" width="10.5703125" style="1" customWidth="1"/>
    <col min="10500" max="10500" width="12.28515625" style="1" customWidth="1"/>
    <col min="10501" max="10501" width="12.5703125" style="1" customWidth="1"/>
    <col min="10502" max="10502" width="1.5703125" style="1" customWidth="1"/>
    <col min="10503" max="10503" width="45.140625" style="1" customWidth="1"/>
    <col min="10504" max="10504" width="13.140625" style="1" customWidth="1"/>
    <col min="10505" max="10505" width="10.28515625" style="1" bestFit="1" customWidth="1"/>
    <col min="10506" max="10506" width="16.28515625" style="1" bestFit="1" customWidth="1"/>
    <col min="10507" max="10507" width="11.28515625" style="1" bestFit="1" customWidth="1"/>
    <col min="10508" max="10740" width="9.140625" style="1"/>
    <col min="10741" max="10741" width="5.140625" style="1" customWidth="1"/>
    <col min="10742" max="10742" width="33.5703125" style="1" customWidth="1"/>
    <col min="10743" max="10743" width="25.85546875" style="1" customWidth="1"/>
    <col min="10744" max="10744" width="0" style="1" hidden="1" customWidth="1"/>
    <col min="10745" max="10745" width="14.85546875" style="1" customWidth="1"/>
    <col min="10746" max="10746" width="13.85546875" style="1" customWidth="1"/>
    <col min="10747" max="10747" width="12.140625" style="1" customWidth="1"/>
    <col min="10748" max="10748" width="13.7109375" style="1" customWidth="1"/>
    <col min="10749" max="10749" width="8.5703125" style="1" customWidth="1"/>
    <col min="10750" max="10750" width="13" style="1" customWidth="1"/>
    <col min="10751" max="10751" width="9" style="1" customWidth="1"/>
    <col min="10752" max="10752" width="6.7109375" style="1" customWidth="1"/>
    <col min="10753" max="10753" width="9" style="1" customWidth="1"/>
    <col min="10754" max="10754" width="6.85546875" style="1" customWidth="1"/>
    <col min="10755" max="10755" width="10.5703125" style="1" customWidth="1"/>
    <col min="10756" max="10756" width="12.28515625" style="1" customWidth="1"/>
    <col min="10757" max="10757" width="12.5703125" style="1" customWidth="1"/>
    <col min="10758" max="10758" width="1.5703125" style="1" customWidth="1"/>
    <col min="10759" max="10759" width="45.140625" style="1" customWidth="1"/>
    <col min="10760" max="10760" width="13.140625" style="1" customWidth="1"/>
    <col min="10761" max="10761" width="10.28515625" style="1" bestFit="1" customWidth="1"/>
    <col min="10762" max="10762" width="16.28515625" style="1" bestFit="1" customWidth="1"/>
    <col min="10763" max="10763" width="11.28515625" style="1" bestFit="1" customWidth="1"/>
    <col min="10764" max="10996" width="9.140625" style="1"/>
    <col min="10997" max="10997" width="5.140625" style="1" customWidth="1"/>
    <col min="10998" max="10998" width="33.5703125" style="1" customWidth="1"/>
    <col min="10999" max="10999" width="25.85546875" style="1" customWidth="1"/>
    <col min="11000" max="11000" width="0" style="1" hidden="1" customWidth="1"/>
    <col min="11001" max="11001" width="14.85546875" style="1" customWidth="1"/>
    <col min="11002" max="11002" width="13.85546875" style="1" customWidth="1"/>
    <col min="11003" max="11003" width="12.140625" style="1" customWidth="1"/>
    <col min="11004" max="11004" width="13.7109375" style="1" customWidth="1"/>
    <col min="11005" max="11005" width="8.5703125" style="1" customWidth="1"/>
    <col min="11006" max="11006" width="13" style="1" customWidth="1"/>
    <col min="11007" max="11007" width="9" style="1" customWidth="1"/>
    <col min="11008" max="11008" width="6.7109375" style="1" customWidth="1"/>
    <col min="11009" max="11009" width="9" style="1" customWidth="1"/>
    <col min="11010" max="11010" width="6.85546875" style="1" customWidth="1"/>
    <col min="11011" max="11011" width="10.5703125" style="1" customWidth="1"/>
    <col min="11012" max="11012" width="12.28515625" style="1" customWidth="1"/>
    <col min="11013" max="11013" width="12.5703125" style="1" customWidth="1"/>
    <col min="11014" max="11014" width="1.5703125" style="1" customWidth="1"/>
    <col min="11015" max="11015" width="45.140625" style="1" customWidth="1"/>
    <col min="11016" max="11016" width="13.140625" style="1" customWidth="1"/>
    <col min="11017" max="11017" width="10.28515625" style="1" bestFit="1" customWidth="1"/>
    <col min="11018" max="11018" width="16.28515625" style="1" bestFit="1" customWidth="1"/>
    <col min="11019" max="11019" width="11.28515625" style="1" bestFit="1" customWidth="1"/>
    <col min="11020" max="11252" width="9.140625" style="1"/>
    <col min="11253" max="11253" width="5.140625" style="1" customWidth="1"/>
    <col min="11254" max="11254" width="33.5703125" style="1" customWidth="1"/>
    <col min="11255" max="11255" width="25.85546875" style="1" customWidth="1"/>
    <col min="11256" max="11256" width="0" style="1" hidden="1" customWidth="1"/>
    <col min="11257" max="11257" width="14.85546875" style="1" customWidth="1"/>
    <col min="11258" max="11258" width="13.85546875" style="1" customWidth="1"/>
    <col min="11259" max="11259" width="12.140625" style="1" customWidth="1"/>
    <col min="11260" max="11260" width="13.7109375" style="1" customWidth="1"/>
    <col min="11261" max="11261" width="8.5703125" style="1" customWidth="1"/>
    <col min="11262" max="11262" width="13" style="1" customWidth="1"/>
    <col min="11263" max="11263" width="9" style="1" customWidth="1"/>
    <col min="11264" max="11264" width="6.7109375" style="1" customWidth="1"/>
    <col min="11265" max="11265" width="9" style="1" customWidth="1"/>
    <col min="11266" max="11266" width="6.85546875" style="1" customWidth="1"/>
    <col min="11267" max="11267" width="10.5703125" style="1" customWidth="1"/>
    <col min="11268" max="11268" width="12.28515625" style="1" customWidth="1"/>
    <col min="11269" max="11269" width="12.5703125" style="1" customWidth="1"/>
    <col min="11270" max="11270" width="1.5703125" style="1" customWidth="1"/>
    <col min="11271" max="11271" width="45.140625" style="1" customWidth="1"/>
    <col min="11272" max="11272" width="13.140625" style="1" customWidth="1"/>
    <col min="11273" max="11273" width="10.28515625" style="1" bestFit="1" customWidth="1"/>
    <col min="11274" max="11274" width="16.28515625" style="1" bestFit="1" customWidth="1"/>
    <col min="11275" max="11275" width="11.28515625" style="1" bestFit="1" customWidth="1"/>
    <col min="11276" max="11508" width="9.140625" style="1"/>
    <col min="11509" max="11509" width="5.140625" style="1" customWidth="1"/>
    <col min="11510" max="11510" width="33.5703125" style="1" customWidth="1"/>
    <col min="11511" max="11511" width="25.85546875" style="1" customWidth="1"/>
    <col min="11512" max="11512" width="0" style="1" hidden="1" customWidth="1"/>
    <col min="11513" max="11513" width="14.85546875" style="1" customWidth="1"/>
    <col min="11514" max="11514" width="13.85546875" style="1" customWidth="1"/>
    <col min="11515" max="11515" width="12.140625" style="1" customWidth="1"/>
    <col min="11516" max="11516" width="13.7109375" style="1" customWidth="1"/>
    <col min="11517" max="11517" width="8.5703125" style="1" customWidth="1"/>
    <col min="11518" max="11518" width="13" style="1" customWidth="1"/>
    <col min="11519" max="11519" width="9" style="1" customWidth="1"/>
    <col min="11520" max="11520" width="6.7109375" style="1" customWidth="1"/>
    <col min="11521" max="11521" width="9" style="1" customWidth="1"/>
    <col min="11522" max="11522" width="6.85546875" style="1" customWidth="1"/>
    <col min="11523" max="11523" width="10.5703125" style="1" customWidth="1"/>
    <col min="11524" max="11524" width="12.28515625" style="1" customWidth="1"/>
    <col min="11525" max="11525" width="12.5703125" style="1" customWidth="1"/>
    <col min="11526" max="11526" width="1.5703125" style="1" customWidth="1"/>
    <col min="11527" max="11527" width="45.140625" style="1" customWidth="1"/>
    <col min="11528" max="11528" width="13.140625" style="1" customWidth="1"/>
    <col min="11529" max="11529" width="10.28515625" style="1" bestFit="1" customWidth="1"/>
    <col min="11530" max="11530" width="16.28515625" style="1" bestFit="1" customWidth="1"/>
    <col min="11531" max="11531" width="11.28515625" style="1" bestFit="1" customWidth="1"/>
    <col min="11532" max="11764" width="9.140625" style="1"/>
    <col min="11765" max="11765" width="5.140625" style="1" customWidth="1"/>
    <col min="11766" max="11766" width="33.5703125" style="1" customWidth="1"/>
    <col min="11767" max="11767" width="25.85546875" style="1" customWidth="1"/>
    <col min="11768" max="11768" width="0" style="1" hidden="1" customWidth="1"/>
    <col min="11769" max="11769" width="14.85546875" style="1" customWidth="1"/>
    <col min="11770" max="11770" width="13.85546875" style="1" customWidth="1"/>
    <col min="11771" max="11771" width="12.140625" style="1" customWidth="1"/>
    <col min="11772" max="11772" width="13.7109375" style="1" customWidth="1"/>
    <col min="11773" max="11773" width="8.5703125" style="1" customWidth="1"/>
    <col min="11774" max="11774" width="13" style="1" customWidth="1"/>
    <col min="11775" max="11775" width="9" style="1" customWidth="1"/>
    <col min="11776" max="11776" width="6.7109375" style="1" customWidth="1"/>
    <col min="11777" max="11777" width="9" style="1" customWidth="1"/>
    <col min="11778" max="11778" width="6.85546875" style="1" customWidth="1"/>
    <col min="11779" max="11779" width="10.5703125" style="1" customWidth="1"/>
    <col min="11780" max="11780" width="12.28515625" style="1" customWidth="1"/>
    <col min="11781" max="11781" width="12.5703125" style="1" customWidth="1"/>
    <col min="11782" max="11782" width="1.5703125" style="1" customWidth="1"/>
    <col min="11783" max="11783" width="45.140625" style="1" customWidth="1"/>
    <col min="11784" max="11784" width="13.140625" style="1" customWidth="1"/>
    <col min="11785" max="11785" width="10.28515625" style="1" bestFit="1" customWidth="1"/>
    <col min="11786" max="11786" width="16.28515625" style="1" bestFit="1" customWidth="1"/>
    <col min="11787" max="11787" width="11.28515625" style="1" bestFit="1" customWidth="1"/>
    <col min="11788" max="12020" width="9.140625" style="1"/>
    <col min="12021" max="12021" width="5.140625" style="1" customWidth="1"/>
    <col min="12022" max="12022" width="33.5703125" style="1" customWidth="1"/>
    <col min="12023" max="12023" width="25.85546875" style="1" customWidth="1"/>
    <col min="12024" max="12024" width="0" style="1" hidden="1" customWidth="1"/>
    <col min="12025" max="12025" width="14.85546875" style="1" customWidth="1"/>
    <col min="12026" max="12026" width="13.85546875" style="1" customWidth="1"/>
    <col min="12027" max="12027" width="12.140625" style="1" customWidth="1"/>
    <col min="12028" max="12028" width="13.7109375" style="1" customWidth="1"/>
    <col min="12029" max="12029" width="8.5703125" style="1" customWidth="1"/>
    <col min="12030" max="12030" width="13" style="1" customWidth="1"/>
    <col min="12031" max="12031" width="9" style="1" customWidth="1"/>
    <col min="12032" max="12032" width="6.7109375" style="1" customWidth="1"/>
    <col min="12033" max="12033" width="9" style="1" customWidth="1"/>
    <col min="12034" max="12034" width="6.85546875" style="1" customWidth="1"/>
    <col min="12035" max="12035" width="10.5703125" style="1" customWidth="1"/>
    <col min="12036" max="12036" width="12.28515625" style="1" customWidth="1"/>
    <col min="12037" max="12037" width="12.5703125" style="1" customWidth="1"/>
    <col min="12038" max="12038" width="1.5703125" style="1" customWidth="1"/>
    <col min="12039" max="12039" width="45.140625" style="1" customWidth="1"/>
    <col min="12040" max="12040" width="13.140625" style="1" customWidth="1"/>
    <col min="12041" max="12041" width="10.28515625" style="1" bestFit="1" customWidth="1"/>
    <col min="12042" max="12042" width="16.28515625" style="1" bestFit="1" customWidth="1"/>
    <col min="12043" max="12043" width="11.28515625" style="1" bestFit="1" customWidth="1"/>
    <col min="12044" max="12276" width="9.140625" style="1"/>
    <col min="12277" max="12277" width="5.140625" style="1" customWidth="1"/>
    <col min="12278" max="12278" width="33.5703125" style="1" customWidth="1"/>
    <col min="12279" max="12279" width="25.85546875" style="1" customWidth="1"/>
    <col min="12280" max="12280" width="0" style="1" hidden="1" customWidth="1"/>
    <col min="12281" max="12281" width="14.85546875" style="1" customWidth="1"/>
    <col min="12282" max="12282" width="13.85546875" style="1" customWidth="1"/>
    <col min="12283" max="12283" width="12.140625" style="1" customWidth="1"/>
    <col min="12284" max="12284" width="13.7109375" style="1" customWidth="1"/>
    <col min="12285" max="12285" width="8.5703125" style="1" customWidth="1"/>
    <col min="12286" max="12286" width="13" style="1" customWidth="1"/>
    <col min="12287" max="12287" width="9" style="1" customWidth="1"/>
    <col min="12288" max="12288" width="6.7109375" style="1" customWidth="1"/>
    <col min="12289" max="12289" width="9" style="1" customWidth="1"/>
    <col min="12290" max="12290" width="6.85546875" style="1" customWidth="1"/>
    <col min="12291" max="12291" width="10.5703125" style="1" customWidth="1"/>
    <col min="12292" max="12292" width="12.28515625" style="1" customWidth="1"/>
    <col min="12293" max="12293" width="12.5703125" style="1" customWidth="1"/>
    <col min="12294" max="12294" width="1.5703125" style="1" customWidth="1"/>
    <col min="12295" max="12295" width="45.140625" style="1" customWidth="1"/>
    <col min="12296" max="12296" width="13.140625" style="1" customWidth="1"/>
    <col min="12297" max="12297" width="10.28515625" style="1" bestFit="1" customWidth="1"/>
    <col min="12298" max="12298" width="16.28515625" style="1" bestFit="1" customWidth="1"/>
    <col min="12299" max="12299" width="11.28515625" style="1" bestFit="1" customWidth="1"/>
    <col min="12300" max="12532" width="9.140625" style="1"/>
    <col min="12533" max="12533" width="5.140625" style="1" customWidth="1"/>
    <col min="12534" max="12534" width="33.5703125" style="1" customWidth="1"/>
    <col min="12535" max="12535" width="25.85546875" style="1" customWidth="1"/>
    <col min="12536" max="12536" width="0" style="1" hidden="1" customWidth="1"/>
    <col min="12537" max="12537" width="14.85546875" style="1" customWidth="1"/>
    <col min="12538" max="12538" width="13.85546875" style="1" customWidth="1"/>
    <col min="12539" max="12539" width="12.140625" style="1" customWidth="1"/>
    <col min="12540" max="12540" width="13.7109375" style="1" customWidth="1"/>
    <col min="12541" max="12541" width="8.5703125" style="1" customWidth="1"/>
    <col min="12542" max="12542" width="13" style="1" customWidth="1"/>
    <col min="12543" max="12543" width="9" style="1" customWidth="1"/>
    <col min="12544" max="12544" width="6.7109375" style="1" customWidth="1"/>
    <col min="12545" max="12545" width="9" style="1" customWidth="1"/>
    <col min="12546" max="12546" width="6.85546875" style="1" customWidth="1"/>
    <col min="12547" max="12547" width="10.5703125" style="1" customWidth="1"/>
    <col min="12548" max="12548" width="12.28515625" style="1" customWidth="1"/>
    <col min="12549" max="12549" width="12.5703125" style="1" customWidth="1"/>
    <col min="12550" max="12550" width="1.5703125" style="1" customWidth="1"/>
    <col min="12551" max="12551" width="45.140625" style="1" customWidth="1"/>
    <col min="12552" max="12552" width="13.140625" style="1" customWidth="1"/>
    <col min="12553" max="12553" width="10.28515625" style="1" bestFit="1" customWidth="1"/>
    <col min="12554" max="12554" width="16.28515625" style="1" bestFit="1" customWidth="1"/>
    <col min="12555" max="12555" width="11.28515625" style="1" bestFit="1" customWidth="1"/>
    <col min="12556" max="12788" width="9.140625" style="1"/>
    <col min="12789" max="12789" width="5.140625" style="1" customWidth="1"/>
    <col min="12790" max="12790" width="33.5703125" style="1" customWidth="1"/>
    <col min="12791" max="12791" width="25.85546875" style="1" customWidth="1"/>
    <col min="12792" max="12792" width="0" style="1" hidden="1" customWidth="1"/>
    <col min="12793" max="12793" width="14.85546875" style="1" customWidth="1"/>
    <col min="12794" max="12794" width="13.85546875" style="1" customWidth="1"/>
    <col min="12795" max="12795" width="12.140625" style="1" customWidth="1"/>
    <col min="12796" max="12796" width="13.7109375" style="1" customWidth="1"/>
    <col min="12797" max="12797" width="8.5703125" style="1" customWidth="1"/>
    <col min="12798" max="12798" width="13" style="1" customWidth="1"/>
    <col min="12799" max="12799" width="9" style="1" customWidth="1"/>
    <col min="12800" max="12800" width="6.7109375" style="1" customWidth="1"/>
    <col min="12801" max="12801" width="9" style="1" customWidth="1"/>
    <col min="12802" max="12802" width="6.85546875" style="1" customWidth="1"/>
    <col min="12803" max="12803" width="10.5703125" style="1" customWidth="1"/>
    <col min="12804" max="12804" width="12.28515625" style="1" customWidth="1"/>
    <col min="12805" max="12805" width="12.5703125" style="1" customWidth="1"/>
    <col min="12806" max="12806" width="1.5703125" style="1" customWidth="1"/>
    <col min="12807" max="12807" width="45.140625" style="1" customWidth="1"/>
    <col min="12808" max="12808" width="13.140625" style="1" customWidth="1"/>
    <col min="12809" max="12809" width="10.28515625" style="1" bestFit="1" customWidth="1"/>
    <col min="12810" max="12810" width="16.28515625" style="1" bestFit="1" customWidth="1"/>
    <col min="12811" max="12811" width="11.28515625" style="1" bestFit="1" customWidth="1"/>
    <col min="12812" max="13044" width="9.140625" style="1"/>
    <col min="13045" max="13045" width="5.140625" style="1" customWidth="1"/>
    <col min="13046" max="13046" width="33.5703125" style="1" customWidth="1"/>
    <col min="13047" max="13047" width="25.85546875" style="1" customWidth="1"/>
    <col min="13048" max="13048" width="0" style="1" hidden="1" customWidth="1"/>
    <col min="13049" max="13049" width="14.85546875" style="1" customWidth="1"/>
    <col min="13050" max="13050" width="13.85546875" style="1" customWidth="1"/>
    <col min="13051" max="13051" width="12.140625" style="1" customWidth="1"/>
    <col min="13052" max="13052" width="13.7109375" style="1" customWidth="1"/>
    <col min="13053" max="13053" width="8.5703125" style="1" customWidth="1"/>
    <col min="13054" max="13054" width="13" style="1" customWidth="1"/>
    <col min="13055" max="13055" width="9" style="1" customWidth="1"/>
    <col min="13056" max="13056" width="6.7109375" style="1" customWidth="1"/>
    <col min="13057" max="13057" width="9" style="1" customWidth="1"/>
    <col min="13058" max="13058" width="6.85546875" style="1" customWidth="1"/>
    <col min="13059" max="13059" width="10.5703125" style="1" customWidth="1"/>
    <col min="13060" max="13060" width="12.28515625" style="1" customWidth="1"/>
    <col min="13061" max="13061" width="12.5703125" style="1" customWidth="1"/>
    <col min="13062" max="13062" width="1.5703125" style="1" customWidth="1"/>
    <col min="13063" max="13063" width="45.140625" style="1" customWidth="1"/>
    <col min="13064" max="13064" width="13.140625" style="1" customWidth="1"/>
    <col min="13065" max="13065" width="10.28515625" style="1" bestFit="1" customWidth="1"/>
    <col min="13066" max="13066" width="16.28515625" style="1" bestFit="1" customWidth="1"/>
    <col min="13067" max="13067" width="11.28515625" style="1" bestFit="1" customWidth="1"/>
    <col min="13068" max="13300" width="9.140625" style="1"/>
    <col min="13301" max="13301" width="5.140625" style="1" customWidth="1"/>
    <col min="13302" max="13302" width="33.5703125" style="1" customWidth="1"/>
    <col min="13303" max="13303" width="25.85546875" style="1" customWidth="1"/>
    <col min="13304" max="13304" width="0" style="1" hidden="1" customWidth="1"/>
    <col min="13305" max="13305" width="14.85546875" style="1" customWidth="1"/>
    <col min="13306" max="13306" width="13.85546875" style="1" customWidth="1"/>
    <col min="13307" max="13307" width="12.140625" style="1" customWidth="1"/>
    <col min="13308" max="13308" width="13.7109375" style="1" customWidth="1"/>
    <col min="13309" max="13309" width="8.5703125" style="1" customWidth="1"/>
    <col min="13310" max="13310" width="13" style="1" customWidth="1"/>
    <col min="13311" max="13311" width="9" style="1" customWidth="1"/>
    <col min="13312" max="13312" width="6.7109375" style="1" customWidth="1"/>
    <col min="13313" max="13313" width="9" style="1" customWidth="1"/>
    <col min="13314" max="13314" width="6.85546875" style="1" customWidth="1"/>
    <col min="13315" max="13315" width="10.5703125" style="1" customWidth="1"/>
    <col min="13316" max="13316" width="12.28515625" style="1" customWidth="1"/>
    <col min="13317" max="13317" width="12.5703125" style="1" customWidth="1"/>
    <col min="13318" max="13318" width="1.5703125" style="1" customWidth="1"/>
    <col min="13319" max="13319" width="45.140625" style="1" customWidth="1"/>
    <col min="13320" max="13320" width="13.140625" style="1" customWidth="1"/>
    <col min="13321" max="13321" width="10.28515625" style="1" bestFit="1" customWidth="1"/>
    <col min="13322" max="13322" width="16.28515625" style="1" bestFit="1" customWidth="1"/>
    <col min="13323" max="13323" width="11.28515625" style="1" bestFit="1" customWidth="1"/>
    <col min="13324" max="13556" width="9.140625" style="1"/>
    <col min="13557" max="13557" width="5.140625" style="1" customWidth="1"/>
    <col min="13558" max="13558" width="33.5703125" style="1" customWidth="1"/>
    <col min="13559" max="13559" width="25.85546875" style="1" customWidth="1"/>
    <col min="13560" max="13560" width="0" style="1" hidden="1" customWidth="1"/>
    <col min="13561" max="13561" width="14.85546875" style="1" customWidth="1"/>
    <col min="13562" max="13562" width="13.85546875" style="1" customWidth="1"/>
    <col min="13563" max="13563" width="12.140625" style="1" customWidth="1"/>
    <col min="13564" max="13564" width="13.7109375" style="1" customWidth="1"/>
    <col min="13565" max="13565" width="8.5703125" style="1" customWidth="1"/>
    <col min="13566" max="13566" width="13" style="1" customWidth="1"/>
    <col min="13567" max="13567" width="9" style="1" customWidth="1"/>
    <col min="13568" max="13568" width="6.7109375" style="1" customWidth="1"/>
    <col min="13569" max="13569" width="9" style="1" customWidth="1"/>
    <col min="13570" max="13570" width="6.85546875" style="1" customWidth="1"/>
    <col min="13571" max="13571" width="10.5703125" style="1" customWidth="1"/>
    <col min="13572" max="13572" width="12.28515625" style="1" customWidth="1"/>
    <col min="13573" max="13573" width="12.5703125" style="1" customWidth="1"/>
    <col min="13574" max="13574" width="1.5703125" style="1" customWidth="1"/>
    <col min="13575" max="13575" width="45.140625" style="1" customWidth="1"/>
    <col min="13576" max="13576" width="13.140625" style="1" customWidth="1"/>
    <col min="13577" max="13577" width="10.28515625" style="1" bestFit="1" customWidth="1"/>
    <col min="13578" max="13578" width="16.28515625" style="1" bestFit="1" customWidth="1"/>
    <col min="13579" max="13579" width="11.28515625" style="1" bestFit="1" customWidth="1"/>
    <col min="13580" max="13812" width="9.140625" style="1"/>
    <col min="13813" max="13813" width="5.140625" style="1" customWidth="1"/>
    <col min="13814" max="13814" width="33.5703125" style="1" customWidth="1"/>
    <col min="13815" max="13815" width="25.85546875" style="1" customWidth="1"/>
    <col min="13816" max="13816" width="0" style="1" hidden="1" customWidth="1"/>
    <col min="13817" max="13817" width="14.85546875" style="1" customWidth="1"/>
    <col min="13818" max="13818" width="13.85546875" style="1" customWidth="1"/>
    <col min="13819" max="13819" width="12.140625" style="1" customWidth="1"/>
    <col min="13820" max="13820" width="13.7109375" style="1" customWidth="1"/>
    <col min="13821" max="13821" width="8.5703125" style="1" customWidth="1"/>
    <col min="13822" max="13822" width="13" style="1" customWidth="1"/>
    <col min="13823" max="13823" width="9" style="1" customWidth="1"/>
    <col min="13824" max="13824" width="6.7109375" style="1" customWidth="1"/>
    <col min="13825" max="13825" width="9" style="1" customWidth="1"/>
    <col min="13826" max="13826" width="6.85546875" style="1" customWidth="1"/>
    <col min="13827" max="13827" width="10.5703125" style="1" customWidth="1"/>
    <col min="13828" max="13828" width="12.28515625" style="1" customWidth="1"/>
    <col min="13829" max="13829" width="12.5703125" style="1" customWidth="1"/>
    <col min="13830" max="13830" width="1.5703125" style="1" customWidth="1"/>
    <col min="13831" max="13831" width="45.140625" style="1" customWidth="1"/>
    <col min="13832" max="13832" width="13.140625" style="1" customWidth="1"/>
    <col min="13833" max="13833" width="10.28515625" style="1" bestFit="1" customWidth="1"/>
    <col min="13834" max="13834" width="16.28515625" style="1" bestFit="1" customWidth="1"/>
    <col min="13835" max="13835" width="11.28515625" style="1" bestFit="1" customWidth="1"/>
    <col min="13836" max="14068" width="9.140625" style="1"/>
    <col min="14069" max="14069" width="5.140625" style="1" customWidth="1"/>
    <col min="14070" max="14070" width="33.5703125" style="1" customWidth="1"/>
    <col min="14071" max="14071" width="25.85546875" style="1" customWidth="1"/>
    <col min="14072" max="14072" width="0" style="1" hidden="1" customWidth="1"/>
    <col min="14073" max="14073" width="14.85546875" style="1" customWidth="1"/>
    <col min="14074" max="14074" width="13.85546875" style="1" customWidth="1"/>
    <col min="14075" max="14075" width="12.140625" style="1" customWidth="1"/>
    <col min="14076" max="14076" width="13.7109375" style="1" customWidth="1"/>
    <col min="14077" max="14077" width="8.5703125" style="1" customWidth="1"/>
    <col min="14078" max="14078" width="13" style="1" customWidth="1"/>
    <col min="14079" max="14079" width="9" style="1" customWidth="1"/>
    <col min="14080" max="14080" width="6.7109375" style="1" customWidth="1"/>
    <col min="14081" max="14081" width="9" style="1" customWidth="1"/>
    <col min="14082" max="14082" width="6.85546875" style="1" customWidth="1"/>
    <col min="14083" max="14083" width="10.5703125" style="1" customWidth="1"/>
    <col min="14084" max="14084" width="12.28515625" style="1" customWidth="1"/>
    <col min="14085" max="14085" width="12.5703125" style="1" customWidth="1"/>
    <col min="14086" max="14086" width="1.5703125" style="1" customWidth="1"/>
    <col min="14087" max="14087" width="45.140625" style="1" customWidth="1"/>
    <col min="14088" max="14088" width="13.140625" style="1" customWidth="1"/>
    <col min="14089" max="14089" width="10.28515625" style="1" bestFit="1" customWidth="1"/>
    <col min="14090" max="14090" width="16.28515625" style="1" bestFit="1" customWidth="1"/>
    <col min="14091" max="14091" width="11.28515625" style="1" bestFit="1" customWidth="1"/>
    <col min="14092" max="14324" width="9.140625" style="1"/>
    <col min="14325" max="14325" width="5.140625" style="1" customWidth="1"/>
    <col min="14326" max="14326" width="33.5703125" style="1" customWidth="1"/>
    <col min="14327" max="14327" width="25.85546875" style="1" customWidth="1"/>
    <col min="14328" max="14328" width="0" style="1" hidden="1" customWidth="1"/>
    <col min="14329" max="14329" width="14.85546875" style="1" customWidth="1"/>
    <col min="14330" max="14330" width="13.85546875" style="1" customWidth="1"/>
    <col min="14331" max="14331" width="12.140625" style="1" customWidth="1"/>
    <col min="14332" max="14332" width="13.7109375" style="1" customWidth="1"/>
    <col min="14333" max="14333" width="8.5703125" style="1" customWidth="1"/>
    <col min="14334" max="14334" width="13" style="1" customWidth="1"/>
    <col min="14335" max="14335" width="9" style="1" customWidth="1"/>
    <col min="14336" max="14336" width="6.7109375" style="1" customWidth="1"/>
    <col min="14337" max="14337" width="9" style="1" customWidth="1"/>
    <col min="14338" max="14338" width="6.85546875" style="1" customWidth="1"/>
    <col min="14339" max="14339" width="10.5703125" style="1" customWidth="1"/>
    <col min="14340" max="14340" width="12.28515625" style="1" customWidth="1"/>
    <col min="14341" max="14341" width="12.5703125" style="1" customWidth="1"/>
    <col min="14342" max="14342" width="1.5703125" style="1" customWidth="1"/>
    <col min="14343" max="14343" width="45.140625" style="1" customWidth="1"/>
    <col min="14344" max="14344" width="13.140625" style="1" customWidth="1"/>
    <col min="14345" max="14345" width="10.28515625" style="1" bestFit="1" customWidth="1"/>
    <col min="14346" max="14346" width="16.28515625" style="1" bestFit="1" customWidth="1"/>
    <col min="14347" max="14347" width="11.28515625" style="1" bestFit="1" customWidth="1"/>
    <col min="14348" max="14580" width="9.140625" style="1"/>
    <col min="14581" max="14581" width="5.140625" style="1" customWidth="1"/>
    <col min="14582" max="14582" width="33.5703125" style="1" customWidth="1"/>
    <col min="14583" max="14583" width="25.85546875" style="1" customWidth="1"/>
    <col min="14584" max="14584" width="0" style="1" hidden="1" customWidth="1"/>
    <col min="14585" max="14585" width="14.85546875" style="1" customWidth="1"/>
    <col min="14586" max="14586" width="13.85546875" style="1" customWidth="1"/>
    <col min="14587" max="14587" width="12.140625" style="1" customWidth="1"/>
    <col min="14588" max="14588" width="13.7109375" style="1" customWidth="1"/>
    <col min="14589" max="14589" width="8.5703125" style="1" customWidth="1"/>
    <col min="14590" max="14590" width="13" style="1" customWidth="1"/>
    <col min="14591" max="14591" width="9" style="1" customWidth="1"/>
    <col min="14592" max="14592" width="6.7109375" style="1" customWidth="1"/>
    <col min="14593" max="14593" width="9" style="1" customWidth="1"/>
    <col min="14594" max="14594" width="6.85546875" style="1" customWidth="1"/>
    <col min="14595" max="14595" width="10.5703125" style="1" customWidth="1"/>
    <col min="14596" max="14596" width="12.28515625" style="1" customWidth="1"/>
    <col min="14597" max="14597" width="12.5703125" style="1" customWidth="1"/>
    <col min="14598" max="14598" width="1.5703125" style="1" customWidth="1"/>
    <col min="14599" max="14599" width="45.140625" style="1" customWidth="1"/>
    <col min="14600" max="14600" width="13.140625" style="1" customWidth="1"/>
    <col min="14601" max="14601" width="10.28515625" style="1" bestFit="1" customWidth="1"/>
    <col min="14602" max="14602" width="16.28515625" style="1" bestFit="1" customWidth="1"/>
    <col min="14603" max="14603" width="11.28515625" style="1" bestFit="1" customWidth="1"/>
    <col min="14604" max="14836" width="9.140625" style="1"/>
    <col min="14837" max="14837" width="5.140625" style="1" customWidth="1"/>
    <col min="14838" max="14838" width="33.5703125" style="1" customWidth="1"/>
    <col min="14839" max="14839" width="25.85546875" style="1" customWidth="1"/>
    <col min="14840" max="14840" width="0" style="1" hidden="1" customWidth="1"/>
    <col min="14841" max="14841" width="14.85546875" style="1" customWidth="1"/>
    <col min="14842" max="14842" width="13.85546875" style="1" customWidth="1"/>
    <col min="14843" max="14843" width="12.140625" style="1" customWidth="1"/>
    <col min="14844" max="14844" width="13.7109375" style="1" customWidth="1"/>
    <col min="14845" max="14845" width="8.5703125" style="1" customWidth="1"/>
    <col min="14846" max="14846" width="13" style="1" customWidth="1"/>
    <col min="14847" max="14847" width="9" style="1" customWidth="1"/>
    <col min="14848" max="14848" width="6.7109375" style="1" customWidth="1"/>
    <col min="14849" max="14849" width="9" style="1" customWidth="1"/>
    <col min="14850" max="14850" width="6.85546875" style="1" customWidth="1"/>
    <col min="14851" max="14851" width="10.5703125" style="1" customWidth="1"/>
    <col min="14852" max="14852" width="12.28515625" style="1" customWidth="1"/>
    <col min="14853" max="14853" width="12.5703125" style="1" customWidth="1"/>
    <col min="14854" max="14854" width="1.5703125" style="1" customWidth="1"/>
    <col min="14855" max="14855" width="45.140625" style="1" customWidth="1"/>
    <col min="14856" max="14856" width="13.140625" style="1" customWidth="1"/>
    <col min="14857" max="14857" width="10.28515625" style="1" bestFit="1" customWidth="1"/>
    <col min="14858" max="14858" width="16.28515625" style="1" bestFit="1" customWidth="1"/>
    <col min="14859" max="14859" width="11.28515625" style="1" bestFit="1" customWidth="1"/>
    <col min="14860" max="15092" width="9.140625" style="1"/>
    <col min="15093" max="15093" width="5.140625" style="1" customWidth="1"/>
    <col min="15094" max="15094" width="33.5703125" style="1" customWidth="1"/>
    <col min="15095" max="15095" width="25.85546875" style="1" customWidth="1"/>
    <col min="15096" max="15096" width="0" style="1" hidden="1" customWidth="1"/>
    <col min="15097" max="15097" width="14.85546875" style="1" customWidth="1"/>
    <col min="15098" max="15098" width="13.85546875" style="1" customWidth="1"/>
    <col min="15099" max="15099" width="12.140625" style="1" customWidth="1"/>
    <col min="15100" max="15100" width="13.7109375" style="1" customWidth="1"/>
    <col min="15101" max="15101" width="8.5703125" style="1" customWidth="1"/>
    <col min="15102" max="15102" width="13" style="1" customWidth="1"/>
    <col min="15103" max="15103" width="9" style="1" customWidth="1"/>
    <col min="15104" max="15104" width="6.7109375" style="1" customWidth="1"/>
    <col min="15105" max="15105" width="9" style="1" customWidth="1"/>
    <col min="15106" max="15106" width="6.85546875" style="1" customWidth="1"/>
    <col min="15107" max="15107" width="10.5703125" style="1" customWidth="1"/>
    <col min="15108" max="15108" width="12.28515625" style="1" customWidth="1"/>
    <col min="15109" max="15109" width="12.5703125" style="1" customWidth="1"/>
    <col min="15110" max="15110" width="1.5703125" style="1" customWidth="1"/>
    <col min="15111" max="15111" width="45.140625" style="1" customWidth="1"/>
    <col min="15112" max="15112" width="13.140625" style="1" customWidth="1"/>
    <col min="15113" max="15113" width="10.28515625" style="1" bestFit="1" customWidth="1"/>
    <col min="15114" max="15114" width="16.28515625" style="1" bestFit="1" customWidth="1"/>
    <col min="15115" max="15115" width="11.28515625" style="1" bestFit="1" customWidth="1"/>
    <col min="15116" max="15348" width="9.140625" style="1"/>
    <col min="15349" max="15349" width="5.140625" style="1" customWidth="1"/>
    <col min="15350" max="15350" width="33.5703125" style="1" customWidth="1"/>
    <col min="15351" max="15351" width="25.85546875" style="1" customWidth="1"/>
    <col min="15352" max="15352" width="0" style="1" hidden="1" customWidth="1"/>
    <col min="15353" max="15353" width="14.85546875" style="1" customWidth="1"/>
    <col min="15354" max="15354" width="13.85546875" style="1" customWidth="1"/>
    <col min="15355" max="15355" width="12.140625" style="1" customWidth="1"/>
    <col min="15356" max="15356" width="13.7109375" style="1" customWidth="1"/>
    <col min="15357" max="15357" width="8.5703125" style="1" customWidth="1"/>
    <col min="15358" max="15358" width="13" style="1" customWidth="1"/>
    <col min="15359" max="15359" width="9" style="1" customWidth="1"/>
    <col min="15360" max="15360" width="6.7109375" style="1" customWidth="1"/>
    <col min="15361" max="15361" width="9" style="1" customWidth="1"/>
    <col min="15362" max="15362" width="6.85546875" style="1" customWidth="1"/>
    <col min="15363" max="15363" width="10.5703125" style="1" customWidth="1"/>
    <col min="15364" max="15364" width="12.28515625" style="1" customWidth="1"/>
    <col min="15365" max="15365" width="12.5703125" style="1" customWidth="1"/>
    <col min="15366" max="15366" width="1.5703125" style="1" customWidth="1"/>
    <col min="15367" max="15367" width="45.140625" style="1" customWidth="1"/>
    <col min="15368" max="15368" width="13.140625" style="1" customWidth="1"/>
    <col min="15369" max="15369" width="10.28515625" style="1" bestFit="1" customWidth="1"/>
    <col min="15370" max="15370" width="16.28515625" style="1" bestFit="1" customWidth="1"/>
    <col min="15371" max="15371" width="11.28515625" style="1" bestFit="1" customWidth="1"/>
    <col min="15372" max="15604" width="9.140625" style="1"/>
    <col min="15605" max="15605" width="5.140625" style="1" customWidth="1"/>
    <col min="15606" max="15606" width="33.5703125" style="1" customWidth="1"/>
    <col min="15607" max="15607" width="25.85546875" style="1" customWidth="1"/>
    <col min="15608" max="15608" width="0" style="1" hidden="1" customWidth="1"/>
    <col min="15609" max="15609" width="14.85546875" style="1" customWidth="1"/>
    <col min="15610" max="15610" width="13.85546875" style="1" customWidth="1"/>
    <col min="15611" max="15611" width="12.140625" style="1" customWidth="1"/>
    <col min="15612" max="15612" width="13.7109375" style="1" customWidth="1"/>
    <col min="15613" max="15613" width="8.5703125" style="1" customWidth="1"/>
    <col min="15614" max="15614" width="13" style="1" customWidth="1"/>
    <col min="15615" max="15615" width="9" style="1" customWidth="1"/>
    <col min="15616" max="15616" width="6.7109375" style="1" customWidth="1"/>
    <col min="15617" max="15617" width="9" style="1" customWidth="1"/>
    <col min="15618" max="15618" width="6.85546875" style="1" customWidth="1"/>
    <col min="15619" max="15619" width="10.5703125" style="1" customWidth="1"/>
    <col min="15620" max="15620" width="12.28515625" style="1" customWidth="1"/>
    <col min="15621" max="15621" width="12.5703125" style="1" customWidth="1"/>
    <col min="15622" max="15622" width="1.5703125" style="1" customWidth="1"/>
    <col min="15623" max="15623" width="45.140625" style="1" customWidth="1"/>
    <col min="15624" max="15624" width="13.140625" style="1" customWidth="1"/>
    <col min="15625" max="15625" width="10.28515625" style="1" bestFit="1" customWidth="1"/>
    <col min="15626" max="15626" width="16.28515625" style="1" bestFit="1" customWidth="1"/>
    <col min="15627" max="15627" width="11.28515625" style="1" bestFit="1" customWidth="1"/>
    <col min="15628" max="15860" width="9.140625" style="1"/>
    <col min="15861" max="15861" width="5.140625" style="1" customWidth="1"/>
    <col min="15862" max="15862" width="33.5703125" style="1" customWidth="1"/>
    <col min="15863" max="15863" width="25.85546875" style="1" customWidth="1"/>
    <col min="15864" max="15864" width="0" style="1" hidden="1" customWidth="1"/>
    <col min="15865" max="15865" width="14.85546875" style="1" customWidth="1"/>
    <col min="15866" max="15866" width="13.85546875" style="1" customWidth="1"/>
    <col min="15867" max="15867" width="12.140625" style="1" customWidth="1"/>
    <col min="15868" max="15868" width="13.7109375" style="1" customWidth="1"/>
    <col min="15869" max="15869" width="8.5703125" style="1" customWidth="1"/>
    <col min="15870" max="15870" width="13" style="1" customWidth="1"/>
    <col min="15871" max="15871" width="9" style="1" customWidth="1"/>
    <col min="15872" max="15872" width="6.7109375" style="1" customWidth="1"/>
    <col min="15873" max="15873" width="9" style="1" customWidth="1"/>
    <col min="15874" max="15874" width="6.85546875" style="1" customWidth="1"/>
    <col min="15875" max="15875" width="10.5703125" style="1" customWidth="1"/>
    <col min="15876" max="15876" width="12.28515625" style="1" customWidth="1"/>
    <col min="15877" max="15877" width="12.5703125" style="1" customWidth="1"/>
    <col min="15878" max="15878" width="1.5703125" style="1" customWidth="1"/>
    <col min="15879" max="15879" width="45.140625" style="1" customWidth="1"/>
    <col min="15880" max="15880" width="13.140625" style="1" customWidth="1"/>
    <col min="15881" max="15881" width="10.28515625" style="1" bestFit="1" customWidth="1"/>
    <col min="15882" max="15882" width="16.28515625" style="1" bestFit="1" customWidth="1"/>
    <col min="15883" max="15883" width="11.28515625" style="1" bestFit="1" customWidth="1"/>
    <col min="15884" max="16116" width="9.140625" style="1"/>
    <col min="16117" max="16117" width="5.140625" style="1" customWidth="1"/>
    <col min="16118" max="16118" width="33.5703125" style="1" customWidth="1"/>
    <col min="16119" max="16119" width="25.85546875" style="1" customWidth="1"/>
    <col min="16120" max="16120" width="0" style="1" hidden="1" customWidth="1"/>
    <col min="16121" max="16121" width="14.85546875" style="1" customWidth="1"/>
    <col min="16122" max="16122" width="13.85546875" style="1" customWidth="1"/>
    <col min="16123" max="16123" width="12.140625" style="1" customWidth="1"/>
    <col min="16124" max="16124" width="13.7109375" style="1" customWidth="1"/>
    <col min="16125" max="16125" width="8.5703125" style="1" customWidth="1"/>
    <col min="16126" max="16126" width="13" style="1" customWidth="1"/>
    <col min="16127" max="16127" width="9" style="1" customWidth="1"/>
    <col min="16128" max="16128" width="6.7109375" style="1" customWidth="1"/>
    <col min="16129" max="16129" width="9" style="1" customWidth="1"/>
    <col min="16130" max="16130" width="6.85546875" style="1" customWidth="1"/>
    <col min="16131" max="16131" width="10.5703125" style="1" customWidth="1"/>
    <col min="16132" max="16132" width="12.28515625" style="1" customWidth="1"/>
    <col min="16133" max="16133" width="12.5703125" style="1" customWidth="1"/>
    <col min="16134" max="16134" width="1.5703125" style="1" customWidth="1"/>
    <col min="16135" max="16135" width="45.140625" style="1" customWidth="1"/>
    <col min="16136" max="16136" width="13.140625" style="1" customWidth="1"/>
    <col min="16137" max="16137" width="10.28515625" style="1" bestFit="1" customWidth="1"/>
    <col min="16138" max="16138" width="16.28515625" style="1" bestFit="1" customWidth="1"/>
    <col min="16139" max="16139" width="11.28515625" style="1" bestFit="1" customWidth="1"/>
    <col min="16140" max="16384" width="9.140625" style="1"/>
  </cols>
  <sheetData>
    <row r="1" spans="1:30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</row>
    <row r="2" spans="1:30" x14ac:dyDescent="0.25">
      <c r="A2" s="308" t="s">
        <v>100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</row>
    <row r="3" spans="1:30" s="12" customFormat="1" ht="63" x14ac:dyDescent="0.25">
      <c r="A3" s="214" t="s">
        <v>2</v>
      </c>
      <c r="B3" s="215" t="s">
        <v>3</v>
      </c>
      <c r="C3" s="216" t="s">
        <v>4</v>
      </c>
      <c r="D3" s="217" t="s">
        <v>5</v>
      </c>
      <c r="E3" s="218"/>
      <c r="F3" s="218"/>
      <c r="G3" s="218"/>
      <c r="H3" s="218"/>
      <c r="I3" s="218"/>
      <c r="J3" s="219" t="s">
        <v>6</v>
      </c>
      <c r="K3" s="219" t="s">
        <v>7</v>
      </c>
      <c r="L3" s="220"/>
      <c r="M3" s="220"/>
      <c r="N3" s="309" t="s">
        <v>8</v>
      </c>
      <c r="O3" s="309"/>
      <c r="P3" s="309"/>
      <c r="Q3" s="217" t="s">
        <v>9</v>
      </c>
      <c r="R3" s="217" t="s">
        <v>10</v>
      </c>
      <c r="S3" s="217"/>
      <c r="T3" s="217" t="s">
        <v>11</v>
      </c>
      <c r="U3" s="217" t="s">
        <v>12</v>
      </c>
      <c r="V3" s="221" t="s">
        <v>13</v>
      </c>
      <c r="W3" s="222" t="s">
        <v>14</v>
      </c>
      <c r="X3" s="222" t="s">
        <v>15</v>
      </c>
      <c r="Y3" s="217" t="s">
        <v>1140</v>
      </c>
      <c r="Z3" s="309" t="s">
        <v>17</v>
      </c>
      <c r="AA3" s="309"/>
      <c r="AB3" s="217" t="s">
        <v>18</v>
      </c>
      <c r="AC3" s="216" t="s">
        <v>19</v>
      </c>
      <c r="AD3" s="216" t="s">
        <v>13</v>
      </c>
    </row>
    <row r="4" spans="1:30" ht="30" x14ac:dyDescent="0.25">
      <c r="A4" s="13" t="s">
        <v>20</v>
      </c>
      <c r="B4" s="248" t="s">
        <v>1148</v>
      </c>
      <c r="C4" s="49" t="s">
        <v>1149</v>
      </c>
      <c r="D4" s="14" t="s">
        <v>28</v>
      </c>
      <c r="E4" s="16">
        <v>7843.4999999999982</v>
      </c>
      <c r="F4" s="17">
        <v>3734.9999999999991</v>
      </c>
      <c r="G4" s="17">
        <v>622.5</v>
      </c>
      <c r="H4" s="25">
        <v>622.5</v>
      </c>
      <c r="I4" s="18"/>
      <c r="J4" s="19">
        <f>SUM(E4:I4)</f>
        <v>12823.499999999996</v>
      </c>
      <c r="K4" s="19" t="s">
        <v>22</v>
      </c>
      <c r="L4" s="20">
        <v>0</v>
      </c>
      <c r="M4" s="20"/>
      <c r="N4" s="20"/>
      <c r="O4" s="20"/>
      <c r="P4" s="17">
        <f>J4/30*N4</f>
        <v>0</v>
      </c>
      <c r="Q4" s="21">
        <f>J4+L4+M4-P4</f>
        <v>12823.499999999996</v>
      </c>
      <c r="R4" s="22">
        <v>31</v>
      </c>
      <c r="S4" s="22"/>
      <c r="T4" s="91" t="s">
        <v>1150</v>
      </c>
      <c r="U4" s="45" t="s">
        <v>1103</v>
      </c>
      <c r="V4" s="23"/>
      <c r="W4" s="121">
        <v>7932</v>
      </c>
      <c r="X4" s="30">
        <f>W4*3</f>
        <v>23796</v>
      </c>
      <c r="Y4" s="30">
        <v>12823.499999999996</v>
      </c>
      <c r="Z4" s="22">
        <v>15</v>
      </c>
      <c r="AA4" s="30">
        <f>W4/30*Z4</f>
        <v>3965.9999999999995</v>
      </c>
      <c r="AB4" s="21"/>
      <c r="AC4" s="31">
        <f>AA4+X4+AB4</f>
        <v>27762</v>
      </c>
      <c r="AD4" s="22"/>
    </row>
    <row r="5" spans="1:30" x14ac:dyDescent="0.25">
      <c r="A5" s="13" t="s">
        <v>35</v>
      </c>
      <c r="B5" s="92"/>
      <c r="C5" s="86"/>
      <c r="D5" s="14"/>
      <c r="E5" s="16"/>
      <c r="F5" s="17"/>
      <c r="G5" s="17"/>
      <c r="H5" s="25"/>
      <c r="I5" s="18"/>
      <c r="J5" s="19"/>
      <c r="K5" s="19"/>
      <c r="L5" s="20"/>
      <c r="M5" s="20"/>
      <c r="N5" s="20"/>
      <c r="O5" s="20"/>
      <c r="P5" s="17"/>
      <c r="Q5" s="21"/>
      <c r="R5" s="22"/>
      <c r="S5" s="22"/>
      <c r="T5" s="86"/>
      <c r="U5" s="45"/>
      <c r="V5" s="23"/>
      <c r="W5" s="121"/>
      <c r="X5" s="30"/>
      <c r="Y5" s="30"/>
      <c r="Z5" s="247"/>
      <c r="AA5" s="30"/>
      <c r="AB5" s="21"/>
      <c r="AC5" s="31"/>
      <c r="AD5" s="22"/>
    </row>
    <row r="6" spans="1:30" s="12" customFormat="1" x14ac:dyDescent="0.25">
      <c r="A6" s="223"/>
      <c r="B6" s="224" t="s">
        <v>48</v>
      </c>
      <c r="C6" s="225"/>
      <c r="D6" s="225"/>
      <c r="E6" s="225"/>
      <c r="F6" s="226"/>
      <c r="G6" s="226"/>
      <c r="H6" s="226"/>
      <c r="I6" s="225"/>
      <c r="J6" s="227">
        <f>SUM(J4:J4)</f>
        <v>12823.499999999996</v>
      </c>
      <c r="K6" s="228"/>
      <c r="L6" s="226"/>
      <c r="M6" s="229"/>
      <c r="N6" s="226"/>
      <c r="O6" s="226"/>
      <c r="P6" s="229"/>
      <c r="Q6" s="225"/>
      <c r="R6" s="225"/>
      <c r="S6" s="225"/>
      <c r="T6" s="225"/>
      <c r="U6" s="216"/>
      <c r="V6" s="224"/>
      <c r="W6" s="226">
        <f>SUM(W4:W4)</f>
        <v>7932</v>
      </c>
      <c r="X6" s="226">
        <f>SUM(X4:X4)</f>
        <v>23796</v>
      </c>
      <c r="Y6" s="226">
        <f>SUM(Y4:Y4)</f>
        <v>12823.499999999996</v>
      </c>
      <c r="Z6" s="225"/>
      <c r="AA6" s="226">
        <f>SUM(AA4:AA4)</f>
        <v>3965.9999999999995</v>
      </c>
      <c r="AB6" s="226">
        <f>SUM(AB4:AB4)</f>
        <v>0</v>
      </c>
      <c r="AC6" s="226">
        <f>SUM(AC4:AC4)</f>
        <v>27762</v>
      </c>
      <c r="AD6" s="225"/>
    </row>
  </sheetData>
  <mergeCells count="4">
    <mergeCell ref="A1:AC1"/>
    <mergeCell ref="A2:AC2"/>
    <mergeCell ref="N3:P3"/>
    <mergeCell ref="Z3:AA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8"/>
  <sheetViews>
    <sheetView topLeftCell="A2" workbookViewId="0">
      <selection activeCell="AD15" sqref="AD15"/>
    </sheetView>
  </sheetViews>
  <sheetFormatPr defaultRowHeight="15.75" x14ac:dyDescent="0.25"/>
  <cols>
    <col min="1" max="1" width="6.5703125" style="78" customWidth="1"/>
    <col min="2" max="2" width="24.85546875" style="1" customWidth="1"/>
    <col min="3" max="3" width="19" style="1" customWidth="1"/>
    <col min="4" max="4" width="13" style="1" hidden="1" customWidth="1"/>
    <col min="5" max="5" width="13.5703125" style="1" hidden="1" customWidth="1"/>
    <col min="6" max="6" width="11" style="1" hidden="1" customWidth="1"/>
    <col min="7" max="7" width="10.5703125" style="1" hidden="1" customWidth="1"/>
    <col min="8" max="8" width="10" style="1" hidden="1" customWidth="1"/>
    <col min="9" max="9" width="8.5703125" style="1" hidden="1" customWidth="1"/>
    <col min="10" max="10" width="10.7109375" style="79" hidden="1" customWidth="1"/>
    <col min="11" max="11" width="9.42578125" style="80" hidden="1" customWidth="1"/>
    <col min="12" max="12" width="14.5703125" style="81" hidden="1" customWidth="1"/>
    <col min="13" max="13" width="6.7109375" style="82" hidden="1" customWidth="1"/>
    <col min="14" max="14" width="9" style="81" hidden="1" customWidth="1"/>
    <col min="15" max="15" width="6.85546875" style="81" hidden="1" customWidth="1"/>
    <col min="16" max="16" width="10.5703125" style="82" hidden="1" customWidth="1"/>
    <col min="17" max="17" width="12.28515625" style="1" hidden="1" customWidth="1"/>
    <col min="18" max="18" width="12.5703125" style="1" hidden="1" customWidth="1"/>
    <col min="19" max="19" width="0.28515625" style="1" customWidth="1"/>
    <col min="20" max="20" width="12.85546875" style="1" customWidth="1"/>
    <col min="21" max="21" width="10.5703125" style="213" customWidth="1"/>
    <col min="22" max="22" width="10" style="1" hidden="1" customWidth="1"/>
    <col min="23" max="23" width="10" style="1" customWidth="1"/>
    <col min="24" max="24" width="11.42578125" style="1" customWidth="1"/>
    <col min="25" max="25" width="14.5703125" style="1" customWidth="1"/>
    <col min="26" max="26" width="12.7109375" style="1" hidden="1" customWidth="1"/>
    <col min="27" max="27" width="9" style="1" customWidth="1"/>
    <col min="28" max="28" width="11.7109375" style="1" customWidth="1"/>
    <col min="29" max="29" width="14.5703125" style="1" customWidth="1"/>
    <col min="30" max="30" width="15.140625" style="1" customWidth="1"/>
    <col min="31" max="31" width="9.140625" style="1" customWidth="1"/>
    <col min="32" max="245" width="9.140625" style="1"/>
    <col min="246" max="246" width="5.140625" style="1" customWidth="1"/>
    <col min="247" max="247" width="33.5703125" style="1" customWidth="1"/>
    <col min="248" max="248" width="25.85546875" style="1" customWidth="1"/>
    <col min="249" max="249" width="0" style="1" hidden="1" customWidth="1"/>
    <col min="250" max="250" width="14.85546875" style="1" customWidth="1"/>
    <col min="251" max="251" width="13.85546875" style="1" customWidth="1"/>
    <col min="252" max="252" width="12.140625" style="1" customWidth="1"/>
    <col min="253" max="253" width="13.7109375" style="1" customWidth="1"/>
    <col min="254" max="254" width="8.5703125" style="1" customWidth="1"/>
    <col min="255" max="255" width="13" style="1" customWidth="1"/>
    <col min="256" max="256" width="9" style="1" customWidth="1"/>
    <col min="257" max="257" width="6.7109375" style="1" customWidth="1"/>
    <col min="258" max="258" width="9" style="1" customWidth="1"/>
    <col min="259" max="259" width="6.85546875" style="1" customWidth="1"/>
    <col min="260" max="260" width="10.5703125" style="1" customWidth="1"/>
    <col min="261" max="261" width="12.28515625" style="1" customWidth="1"/>
    <col min="262" max="262" width="12.5703125" style="1" customWidth="1"/>
    <col min="263" max="263" width="1.5703125" style="1" customWidth="1"/>
    <col min="264" max="264" width="45.140625" style="1" customWidth="1"/>
    <col min="265" max="265" width="13.140625" style="1" customWidth="1"/>
    <col min="266" max="266" width="10.28515625" style="1" bestFit="1" customWidth="1"/>
    <col min="267" max="267" width="16.28515625" style="1" bestFit="1" customWidth="1"/>
    <col min="268" max="268" width="11.28515625" style="1" bestFit="1" customWidth="1"/>
    <col min="269" max="501" width="9.140625" style="1"/>
    <col min="502" max="502" width="5.140625" style="1" customWidth="1"/>
    <col min="503" max="503" width="33.5703125" style="1" customWidth="1"/>
    <col min="504" max="504" width="25.85546875" style="1" customWidth="1"/>
    <col min="505" max="505" width="0" style="1" hidden="1" customWidth="1"/>
    <col min="506" max="506" width="14.85546875" style="1" customWidth="1"/>
    <col min="507" max="507" width="13.85546875" style="1" customWidth="1"/>
    <col min="508" max="508" width="12.140625" style="1" customWidth="1"/>
    <col min="509" max="509" width="13.7109375" style="1" customWidth="1"/>
    <col min="510" max="510" width="8.5703125" style="1" customWidth="1"/>
    <col min="511" max="511" width="13" style="1" customWidth="1"/>
    <col min="512" max="512" width="9" style="1" customWidth="1"/>
    <col min="513" max="513" width="6.7109375" style="1" customWidth="1"/>
    <col min="514" max="514" width="9" style="1" customWidth="1"/>
    <col min="515" max="515" width="6.85546875" style="1" customWidth="1"/>
    <col min="516" max="516" width="10.5703125" style="1" customWidth="1"/>
    <col min="517" max="517" width="12.28515625" style="1" customWidth="1"/>
    <col min="518" max="518" width="12.5703125" style="1" customWidth="1"/>
    <col min="519" max="519" width="1.5703125" style="1" customWidth="1"/>
    <col min="520" max="520" width="45.140625" style="1" customWidth="1"/>
    <col min="521" max="521" width="13.140625" style="1" customWidth="1"/>
    <col min="522" max="522" width="10.28515625" style="1" bestFit="1" customWidth="1"/>
    <col min="523" max="523" width="16.28515625" style="1" bestFit="1" customWidth="1"/>
    <col min="524" max="524" width="11.28515625" style="1" bestFit="1" customWidth="1"/>
    <col min="525" max="757" width="9.140625" style="1"/>
    <col min="758" max="758" width="5.140625" style="1" customWidth="1"/>
    <col min="759" max="759" width="33.5703125" style="1" customWidth="1"/>
    <col min="760" max="760" width="25.85546875" style="1" customWidth="1"/>
    <col min="761" max="761" width="0" style="1" hidden="1" customWidth="1"/>
    <col min="762" max="762" width="14.85546875" style="1" customWidth="1"/>
    <col min="763" max="763" width="13.85546875" style="1" customWidth="1"/>
    <col min="764" max="764" width="12.140625" style="1" customWidth="1"/>
    <col min="765" max="765" width="13.7109375" style="1" customWidth="1"/>
    <col min="766" max="766" width="8.5703125" style="1" customWidth="1"/>
    <col min="767" max="767" width="13" style="1" customWidth="1"/>
    <col min="768" max="768" width="9" style="1" customWidth="1"/>
    <col min="769" max="769" width="6.7109375" style="1" customWidth="1"/>
    <col min="770" max="770" width="9" style="1" customWidth="1"/>
    <col min="771" max="771" width="6.85546875" style="1" customWidth="1"/>
    <col min="772" max="772" width="10.5703125" style="1" customWidth="1"/>
    <col min="773" max="773" width="12.28515625" style="1" customWidth="1"/>
    <col min="774" max="774" width="12.5703125" style="1" customWidth="1"/>
    <col min="775" max="775" width="1.5703125" style="1" customWidth="1"/>
    <col min="776" max="776" width="45.140625" style="1" customWidth="1"/>
    <col min="777" max="777" width="13.140625" style="1" customWidth="1"/>
    <col min="778" max="778" width="10.28515625" style="1" bestFit="1" customWidth="1"/>
    <col min="779" max="779" width="16.28515625" style="1" bestFit="1" customWidth="1"/>
    <col min="780" max="780" width="11.28515625" style="1" bestFit="1" customWidth="1"/>
    <col min="781" max="1013" width="9.140625" style="1"/>
    <col min="1014" max="1014" width="5.140625" style="1" customWidth="1"/>
    <col min="1015" max="1015" width="33.5703125" style="1" customWidth="1"/>
    <col min="1016" max="1016" width="25.85546875" style="1" customWidth="1"/>
    <col min="1017" max="1017" width="0" style="1" hidden="1" customWidth="1"/>
    <col min="1018" max="1018" width="14.85546875" style="1" customWidth="1"/>
    <col min="1019" max="1019" width="13.85546875" style="1" customWidth="1"/>
    <col min="1020" max="1020" width="12.140625" style="1" customWidth="1"/>
    <col min="1021" max="1021" width="13.7109375" style="1" customWidth="1"/>
    <col min="1022" max="1022" width="8.5703125" style="1" customWidth="1"/>
    <col min="1023" max="1023" width="13" style="1" customWidth="1"/>
    <col min="1024" max="1024" width="9" style="1" customWidth="1"/>
    <col min="1025" max="1025" width="6.7109375" style="1" customWidth="1"/>
    <col min="1026" max="1026" width="9" style="1" customWidth="1"/>
    <col min="1027" max="1027" width="6.85546875" style="1" customWidth="1"/>
    <col min="1028" max="1028" width="10.5703125" style="1" customWidth="1"/>
    <col min="1029" max="1029" width="12.28515625" style="1" customWidth="1"/>
    <col min="1030" max="1030" width="12.5703125" style="1" customWidth="1"/>
    <col min="1031" max="1031" width="1.5703125" style="1" customWidth="1"/>
    <col min="1032" max="1032" width="45.140625" style="1" customWidth="1"/>
    <col min="1033" max="1033" width="13.140625" style="1" customWidth="1"/>
    <col min="1034" max="1034" width="10.28515625" style="1" bestFit="1" customWidth="1"/>
    <col min="1035" max="1035" width="16.28515625" style="1" bestFit="1" customWidth="1"/>
    <col min="1036" max="1036" width="11.28515625" style="1" bestFit="1" customWidth="1"/>
    <col min="1037" max="1269" width="9.140625" style="1"/>
    <col min="1270" max="1270" width="5.140625" style="1" customWidth="1"/>
    <col min="1271" max="1271" width="33.5703125" style="1" customWidth="1"/>
    <col min="1272" max="1272" width="25.85546875" style="1" customWidth="1"/>
    <col min="1273" max="1273" width="0" style="1" hidden="1" customWidth="1"/>
    <col min="1274" max="1274" width="14.85546875" style="1" customWidth="1"/>
    <col min="1275" max="1275" width="13.85546875" style="1" customWidth="1"/>
    <col min="1276" max="1276" width="12.140625" style="1" customWidth="1"/>
    <col min="1277" max="1277" width="13.7109375" style="1" customWidth="1"/>
    <col min="1278" max="1278" width="8.5703125" style="1" customWidth="1"/>
    <col min="1279" max="1279" width="13" style="1" customWidth="1"/>
    <col min="1280" max="1280" width="9" style="1" customWidth="1"/>
    <col min="1281" max="1281" width="6.7109375" style="1" customWidth="1"/>
    <col min="1282" max="1282" width="9" style="1" customWidth="1"/>
    <col min="1283" max="1283" width="6.85546875" style="1" customWidth="1"/>
    <col min="1284" max="1284" width="10.5703125" style="1" customWidth="1"/>
    <col min="1285" max="1285" width="12.28515625" style="1" customWidth="1"/>
    <col min="1286" max="1286" width="12.5703125" style="1" customWidth="1"/>
    <col min="1287" max="1287" width="1.5703125" style="1" customWidth="1"/>
    <col min="1288" max="1288" width="45.140625" style="1" customWidth="1"/>
    <col min="1289" max="1289" width="13.140625" style="1" customWidth="1"/>
    <col min="1290" max="1290" width="10.28515625" style="1" bestFit="1" customWidth="1"/>
    <col min="1291" max="1291" width="16.28515625" style="1" bestFit="1" customWidth="1"/>
    <col min="1292" max="1292" width="11.28515625" style="1" bestFit="1" customWidth="1"/>
    <col min="1293" max="1525" width="9.140625" style="1"/>
    <col min="1526" max="1526" width="5.140625" style="1" customWidth="1"/>
    <col min="1527" max="1527" width="33.5703125" style="1" customWidth="1"/>
    <col min="1528" max="1528" width="25.85546875" style="1" customWidth="1"/>
    <col min="1529" max="1529" width="0" style="1" hidden="1" customWidth="1"/>
    <col min="1530" max="1530" width="14.85546875" style="1" customWidth="1"/>
    <col min="1531" max="1531" width="13.85546875" style="1" customWidth="1"/>
    <col min="1532" max="1532" width="12.140625" style="1" customWidth="1"/>
    <col min="1533" max="1533" width="13.7109375" style="1" customWidth="1"/>
    <col min="1534" max="1534" width="8.5703125" style="1" customWidth="1"/>
    <col min="1535" max="1535" width="13" style="1" customWidth="1"/>
    <col min="1536" max="1536" width="9" style="1" customWidth="1"/>
    <col min="1537" max="1537" width="6.7109375" style="1" customWidth="1"/>
    <col min="1538" max="1538" width="9" style="1" customWidth="1"/>
    <col min="1539" max="1539" width="6.85546875" style="1" customWidth="1"/>
    <col min="1540" max="1540" width="10.5703125" style="1" customWidth="1"/>
    <col min="1541" max="1541" width="12.28515625" style="1" customWidth="1"/>
    <col min="1542" max="1542" width="12.5703125" style="1" customWidth="1"/>
    <col min="1543" max="1543" width="1.5703125" style="1" customWidth="1"/>
    <col min="1544" max="1544" width="45.140625" style="1" customWidth="1"/>
    <col min="1545" max="1545" width="13.140625" style="1" customWidth="1"/>
    <col min="1546" max="1546" width="10.28515625" style="1" bestFit="1" customWidth="1"/>
    <col min="1547" max="1547" width="16.28515625" style="1" bestFit="1" customWidth="1"/>
    <col min="1548" max="1548" width="11.28515625" style="1" bestFit="1" customWidth="1"/>
    <col min="1549" max="1781" width="9.140625" style="1"/>
    <col min="1782" max="1782" width="5.140625" style="1" customWidth="1"/>
    <col min="1783" max="1783" width="33.5703125" style="1" customWidth="1"/>
    <col min="1784" max="1784" width="25.85546875" style="1" customWidth="1"/>
    <col min="1785" max="1785" width="0" style="1" hidden="1" customWidth="1"/>
    <col min="1786" max="1786" width="14.85546875" style="1" customWidth="1"/>
    <col min="1787" max="1787" width="13.85546875" style="1" customWidth="1"/>
    <col min="1788" max="1788" width="12.140625" style="1" customWidth="1"/>
    <col min="1789" max="1789" width="13.7109375" style="1" customWidth="1"/>
    <col min="1790" max="1790" width="8.5703125" style="1" customWidth="1"/>
    <col min="1791" max="1791" width="13" style="1" customWidth="1"/>
    <col min="1792" max="1792" width="9" style="1" customWidth="1"/>
    <col min="1793" max="1793" width="6.7109375" style="1" customWidth="1"/>
    <col min="1794" max="1794" width="9" style="1" customWidth="1"/>
    <col min="1795" max="1795" width="6.85546875" style="1" customWidth="1"/>
    <col min="1796" max="1796" width="10.5703125" style="1" customWidth="1"/>
    <col min="1797" max="1797" width="12.28515625" style="1" customWidth="1"/>
    <col min="1798" max="1798" width="12.5703125" style="1" customWidth="1"/>
    <col min="1799" max="1799" width="1.5703125" style="1" customWidth="1"/>
    <col min="1800" max="1800" width="45.140625" style="1" customWidth="1"/>
    <col min="1801" max="1801" width="13.140625" style="1" customWidth="1"/>
    <col min="1802" max="1802" width="10.28515625" style="1" bestFit="1" customWidth="1"/>
    <col min="1803" max="1803" width="16.28515625" style="1" bestFit="1" customWidth="1"/>
    <col min="1804" max="1804" width="11.28515625" style="1" bestFit="1" customWidth="1"/>
    <col min="1805" max="2037" width="9.140625" style="1"/>
    <col min="2038" max="2038" width="5.140625" style="1" customWidth="1"/>
    <col min="2039" max="2039" width="33.5703125" style="1" customWidth="1"/>
    <col min="2040" max="2040" width="25.85546875" style="1" customWidth="1"/>
    <col min="2041" max="2041" width="0" style="1" hidden="1" customWidth="1"/>
    <col min="2042" max="2042" width="14.85546875" style="1" customWidth="1"/>
    <col min="2043" max="2043" width="13.85546875" style="1" customWidth="1"/>
    <col min="2044" max="2044" width="12.140625" style="1" customWidth="1"/>
    <col min="2045" max="2045" width="13.7109375" style="1" customWidth="1"/>
    <col min="2046" max="2046" width="8.5703125" style="1" customWidth="1"/>
    <col min="2047" max="2047" width="13" style="1" customWidth="1"/>
    <col min="2048" max="2048" width="9" style="1" customWidth="1"/>
    <col min="2049" max="2049" width="6.7109375" style="1" customWidth="1"/>
    <col min="2050" max="2050" width="9" style="1" customWidth="1"/>
    <col min="2051" max="2051" width="6.85546875" style="1" customWidth="1"/>
    <col min="2052" max="2052" width="10.5703125" style="1" customWidth="1"/>
    <col min="2053" max="2053" width="12.28515625" style="1" customWidth="1"/>
    <col min="2054" max="2054" width="12.5703125" style="1" customWidth="1"/>
    <col min="2055" max="2055" width="1.5703125" style="1" customWidth="1"/>
    <col min="2056" max="2056" width="45.140625" style="1" customWidth="1"/>
    <col min="2057" max="2057" width="13.140625" style="1" customWidth="1"/>
    <col min="2058" max="2058" width="10.28515625" style="1" bestFit="1" customWidth="1"/>
    <col min="2059" max="2059" width="16.28515625" style="1" bestFit="1" customWidth="1"/>
    <col min="2060" max="2060" width="11.28515625" style="1" bestFit="1" customWidth="1"/>
    <col min="2061" max="2293" width="9.140625" style="1"/>
    <col min="2294" max="2294" width="5.140625" style="1" customWidth="1"/>
    <col min="2295" max="2295" width="33.5703125" style="1" customWidth="1"/>
    <col min="2296" max="2296" width="25.85546875" style="1" customWidth="1"/>
    <col min="2297" max="2297" width="0" style="1" hidden="1" customWidth="1"/>
    <col min="2298" max="2298" width="14.85546875" style="1" customWidth="1"/>
    <col min="2299" max="2299" width="13.85546875" style="1" customWidth="1"/>
    <col min="2300" max="2300" width="12.140625" style="1" customWidth="1"/>
    <col min="2301" max="2301" width="13.7109375" style="1" customWidth="1"/>
    <col min="2302" max="2302" width="8.5703125" style="1" customWidth="1"/>
    <col min="2303" max="2303" width="13" style="1" customWidth="1"/>
    <col min="2304" max="2304" width="9" style="1" customWidth="1"/>
    <col min="2305" max="2305" width="6.7109375" style="1" customWidth="1"/>
    <col min="2306" max="2306" width="9" style="1" customWidth="1"/>
    <col min="2307" max="2307" width="6.85546875" style="1" customWidth="1"/>
    <col min="2308" max="2308" width="10.5703125" style="1" customWidth="1"/>
    <col min="2309" max="2309" width="12.28515625" style="1" customWidth="1"/>
    <col min="2310" max="2310" width="12.5703125" style="1" customWidth="1"/>
    <col min="2311" max="2311" width="1.5703125" style="1" customWidth="1"/>
    <col min="2312" max="2312" width="45.140625" style="1" customWidth="1"/>
    <col min="2313" max="2313" width="13.140625" style="1" customWidth="1"/>
    <col min="2314" max="2314" width="10.28515625" style="1" bestFit="1" customWidth="1"/>
    <col min="2315" max="2315" width="16.28515625" style="1" bestFit="1" customWidth="1"/>
    <col min="2316" max="2316" width="11.28515625" style="1" bestFit="1" customWidth="1"/>
    <col min="2317" max="2549" width="9.140625" style="1"/>
    <col min="2550" max="2550" width="5.140625" style="1" customWidth="1"/>
    <col min="2551" max="2551" width="33.5703125" style="1" customWidth="1"/>
    <col min="2552" max="2552" width="25.85546875" style="1" customWidth="1"/>
    <col min="2553" max="2553" width="0" style="1" hidden="1" customWidth="1"/>
    <col min="2554" max="2554" width="14.85546875" style="1" customWidth="1"/>
    <col min="2555" max="2555" width="13.85546875" style="1" customWidth="1"/>
    <col min="2556" max="2556" width="12.140625" style="1" customWidth="1"/>
    <col min="2557" max="2557" width="13.7109375" style="1" customWidth="1"/>
    <col min="2558" max="2558" width="8.5703125" style="1" customWidth="1"/>
    <col min="2559" max="2559" width="13" style="1" customWidth="1"/>
    <col min="2560" max="2560" width="9" style="1" customWidth="1"/>
    <col min="2561" max="2561" width="6.7109375" style="1" customWidth="1"/>
    <col min="2562" max="2562" width="9" style="1" customWidth="1"/>
    <col min="2563" max="2563" width="6.85546875" style="1" customWidth="1"/>
    <col min="2564" max="2564" width="10.5703125" style="1" customWidth="1"/>
    <col min="2565" max="2565" width="12.28515625" style="1" customWidth="1"/>
    <col min="2566" max="2566" width="12.5703125" style="1" customWidth="1"/>
    <col min="2567" max="2567" width="1.5703125" style="1" customWidth="1"/>
    <col min="2568" max="2568" width="45.140625" style="1" customWidth="1"/>
    <col min="2569" max="2569" width="13.140625" style="1" customWidth="1"/>
    <col min="2570" max="2570" width="10.28515625" style="1" bestFit="1" customWidth="1"/>
    <col min="2571" max="2571" width="16.28515625" style="1" bestFit="1" customWidth="1"/>
    <col min="2572" max="2572" width="11.28515625" style="1" bestFit="1" customWidth="1"/>
    <col min="2573" max="2805" width="9.140625" style="1"/>
    <col min="2806" max="2806" width="5.140625" style="1" customWidth="1"/>
    <col min="2807" max="2807" width="33.5703125" style="1" customWidth="1"/>
    <col min="2808" max="2808" width="25.85546875" style="1" customWidth="1"/>
    <col min="2809" max="2809" width="0" style="1" hidden="1" customWidth="1"/>
    <col min="2810" max="2810" width="14.85546875" style="1" customWidth="1"/>
    <col min="2811" max="2811" width="13.85546875" style="1" customWidth="1"/>
    <col min="2812" max="2812" width="12.140625" style="1" customWidth="1"/>
    <col min="2813" max="2813" width="13.7109375" style="1" customWidth="1"/>
    <col min="2814" max="2814" width="8.5703125" style="1" customWidth="1"/>
    <col min="2815" max="2815" width="13" style="1" customWidth="1"/>
    <col min="2816" max="2816" width="9" style="1" customWidth="1"/>
    <col min="2817" max="2817" width="6.7109375" style="1" customWidth="1"/>
    <col min="2818" max="2818" width="9" style="1" customWidth="1"/>
    <col min="2819" max="2819" width="6.85546875" style="1" customWidth="1"/>
    <col min="2820" max="2820" width="10.5703125" style="1" customWidth="1"/>
    <col min="2821" max="2821" width="12.28515625" style="1" customWidth="1"/>
    <col min="2822" max="2822" width="12.5703125" style="1" customWidth="1"/>
    <col min="2823" max="2823" width="1.5703125" style="1" customWidth="1"/>
    <col min="2824" max="2824" width="45.140625" style="1" customWidth="1"/>
    <col min="2825" max="2825" width="13.140625" style="1" customWidth="1"/>
    <col min="2826" max="2826" width="10.28515625" style="1" bestFit="1" customWidth="1"/>
    <col min="2827" max="2827" width="16.28515625" style="1" bestFit="1" customWidth="1"/>
    <col min="2828" max="2828" width="11.28515625" style="1" bestFit="1" customWidth="1"/>
    <col min="2829" max="3061" width="9.140625" style="1"/>
    <col min="3062" max="3062" width="5.140625" style="1" customWidth="1"/>
    <col min="3063" max="3063" width="33.5703125" style="1" customWidth="1"/>
    <col min="3064" max="3064" width="25.85546875" style="1" customWidth="1"/>
    <col min="3065" max="3065" width="0" style="1" hidden="1" customWidth="1"/>
    <col min="3066" max="3066" width="14.85546875" style="1" customWidth="1"/>
    <col min="3067" max="3067" width="13.85546875" style="1" customWidth="1"/>
    <col min="3068" max="3068" width="12.140625" style="1" customWidth="1"/>
    <col min="3069" max="3069" width="13.7109375" style="1" customWidth="1"/>
    <col min="3070" max="3070" width="8.5703125" style="1" customWidth="1"/>
    <col min="3071" max="3071" width="13" style="1" customWidth="1"/>
    <col min="3072" max="3072" width="9" style="1" customWidth="1"/>
    <col min="3073" max="3073" width="6.7109375" style="1" customWidth="1"/>
    <col min="3074" max="3074" width="9" style="1" customWidth="1"/>
    <col min="3075" max="3075" width="6.85546875" style="1" customWidth="1"/>
    <col min="3076" max="3076" width="10.5703125" style="1" customWidth="1"/>
    <col min="3077" max="3077" width="12.28515625" style="1" customWidth="1"/>
    <col min="3078" max="3078" width="12.5703125" style="1" customWidth="1"/>
    <col min="3079" max="3079" width="1.5703125" style="1" customWidth="1"/>
    <col min="3080" max="3080" width="45.140625" style="1" customWidth="1"/>
    <col min="3081" max="3081" width="13.140625" style="1" customWidth="1"/>
    <col min="3082" max="3082" width="10.28515625" style="1" bestFit="1" customWidth="1"/>
    <col min="3083" max="3083" width="16.28515625" style="1" bestFit="1" customWidth="1"/>
    <col min="3084" max="3084" width="11.28515625" style="1" bestFit="1" customWidth="1"/>
    <col min="3085" max="3317" width="9.140625" style="1"/>
    <col min="3318" max="3318" width="5.140625" style="1" customWidth="1"/>
    <col min="3319" max="3319" width="33.5703125" style="1" customWidth="1"/>
    <col min="3320" max="3320" width="25.85546875" style="1" customWidth="1"/>
    <col min="3321" max="3321" width="0" style="1" hidden="1" customWidth="1"/>
    <col min="3322" max="3322" width="14.85546875" style="1" customWidth="1"/>
    <col min="3323" max="3323" width="13.85546875" style="1" customWidth="1"/>
    <col min="3324" max="3324" width="12.140625" style="1" customWidth="1"/>
    <col min="3325" max="3325" width="13.7109375" style="1" customWidth="1"/>
    <col min="3326" max="3326" width="8.5703125" style="1" customWidth="1"/>
    <col min="3327" max="3327" width="13" style="1" customWidth="1"/>
    <col min="3328" max="3328" width="9" style="1" customWidth="1"/>
    <col min="3329" max="3329" width="6.7109375" style="1" customWidth="1"/>
    <col min="3330" max="3330" width="9" style="1" customWidth="1"/>
    <col min="3331" max="3331" width="6.85546875" style="1" customWidth="1"/>
    <col min="3332" max="3332" width="10.5703125" style="1" customWidth="1"/>
    <col min="3333" max="3333" width="12.28515625" style="1" customWidth="1"/>
    <col min="3334" max="3334" width="12.5703125" style="1" customWidth="1"/>
    <col min="3335" max="3335" width="1.5703125" style="1" customWidth="1"/>
    <col min="3336" max="3336" width="45.140625" style="1" customWidth="1"/>
    <col min="3337" max="3337" width="13.140625" style="1" customWidth="1"/>
    <col min="3338" max="3338" width="10.28515625" style="1" bestFit="1" customWidth="1"/>
    <col min="3339" max="3339" width="16.28515625" style="1" bestFit="1" customWidth="1"/>
    <col min="3340" max="3340" width="11.28515625" style="1" bestFit="1" customWidth="1"/>
    <col min="3341" max="3573" width="9.140625" style="1"/>
    <col min="3574" max="3574" width="5.140625" style="1" customWidth="1"/>
    <col min="3575" max="3575" width="33.5703125" style="1" customWidth="1"/>
    <col min="3576" max="3576" width="25.85546875" style="1" customWidth="1"/>
    <col min="3577" max="3577" width="0" style="1" hidden="1" customWidth="1"/>
    <col min="3578" max="3578" width="14.85546875" style="1" customWidth="1"/>
    <col min="3579" max="3579" width="13.85546875" style="1" customWidth="1"/>
    <col min="3580" max="3580" width="12.140625" style="1" customWidth="1"/>
    <col min="3581" max="3581" width="13.7109375" style="1" customWidth="1"/>
    <col min="3582" max="3582" width="8.5703125" style="1" customWidth="1"/>
    <col min="3583" max="3583" width="13" style="1" customWidth="1"/>
    <col min="3584" max="3584" width="9" style="1" customWidth="1"/>
    <col min="3585" max="3585" width="6.7109375" style="1" customWidth="1"/>
    <col min="3586" max="3586" width="9" style="1" customWidth="1"/>
    <col min="3587" max="3587" width="6.85546875" style="1" customWidth="1"/>
    <col min="3588" max="3588" width="10.5703125" style="1" customWidth="1"/>
    <col min="3589" max="3589" width="12.28515625" style="1" customWidth="1"/>
    <col min="3590" max="3590" width="12.5703125" style="1" customWidth="1"/>
    <col min="3591" max="3591" width="1.5703125" style="1" customWidth="1"/>
    <col min="3592" max="3592" width="45.140625" style="1" customWidth="1"/>
    <col min="3593" max="3593" width="13.140625" style="1" customWidth="1"/>
    <col min="3594" max="3594" width="10.28515625" style="1" bestFit="1" customWidth="1"/>
    <col min="3595" max="3595" width="16.28515625" style="1" bestFit="1" customWidth="1"/>
    <col min="3596" max="3596" width="11.28515625" style="1" bestFit="1" customWidth="1"/>
    <col min="3597" max="3829" width="9.140625" style="1"/>
    <col min="3830" max="3830" width="5.140625" style="1" customWidth="1"/>
    <col min="3831" max="3831" width="33.5703125" style="1" customWidth="1"/>
    <col min="3832" max="3832" width="25.85546875" style="1" customWidth="1"/>
    <col min="3833" max="3833" width="0" style="1" hidden="1" customWidth="1"/>
    <col min="3834" max="3834" width="14.85546875" style="1" customWidth="1"/>
    <col min="3835" max="3835" width="13.85546875" style="1" customWidth="1"/>
    <col min="3836" max="3836" width="12.140625" style="1" customWidth="1"/>
    <col min="3837" max="3837" width="13.7109375" style="1" customWidth="1"/>
    <col min="3838" max="3838" width="8.5703125" style="1" customWidth="1"/>
    <col min="3839" max="3839" width="13" style="1" customWidth="1"/>
    <col min="3840" max="3840" width="9" style="1" customWidth="1"/>
    <col min="3841" max="3841" width="6.7109375" style="1" customWidth="1"/>
    <col min="3842" max="3842" width="9" style="1" customWidth="1"/>
    <col min="3843" max="3843" width="6.85546875" style="1" customWidth="1"/>
    <col min="3844" max="3844" width="10.5703125" style="1" customWidth="1"/>
    <col min="3845" max="3845" width="12.28515625" style="1" customWidth="1"/>
    <col min="3846" max="3846" width="12.5703125" style="1" customWidth="1"/>
    <col min="3847" max="3847" width="1.5703125" style="1" customWidth="1"/>
    <col min="3848" max="3848" width="45.140625" style="1" customWidth="1"/>
    <col min="3849" max="3849" width="13.140625" style="1" customWidth="1"/>
    <col min="3850" max="3850" width="10.28515625" style="1" bestFit="1" customWidth="1"/>
    <col min="3851" max="3851" width="16.28515625" style="1" bestFit="1" customWidth="1"/>
    <col min="3852" max="3852" width="11.28515625" style="1" bestFit="1" customWidth="1"/>
    <col min="3853" max="4085" width="9.140625" style="1"/>
    <col min="4086" max="4086" width="5.140625" style="1" customWidth="1"/>
    <col min="4087" max="4087" width="33.5703125" style="1" customWidth="1"/>
    <col min="4088" max="4088" width="25.85546875" style="1" customWidth="1"/>
    <col min="4089" max="4089" width="0" style="1" hidden="1" customWidth="1"/>
    <col min="4090" max="4090" width="14.85546875" style="1" customWidth="1"/>
    <col min="4091" max="4091" width="13.85546875" style="1" customWidth="1"/>
    <col min="4092" max="4092" width="12.140625" style="1" customWidth="1"/>
    <col min="4093" max="4093" width="13.7109375" style="1" customWidth="1"/>
    <col min="4094" max="4094" width="8.5703125" style="1" customWidth="1"/>
    <col min="4095" max="4095" width="13" style="1" customWidth="1"/>
    <col min="4096" max="4096" width="9" style="1" customWidth="1"/>
    <col min="4097" max="4097" width="6.7109375" style="1" customWidth="1"/>
    <col min="4098" max="4098" width="9" style="1" customWidth="1"/>
    <col min="4099" max="4099" width="6.85546875" style="1" customWidth="1"/>
    <col min="4100" max="4100" width="10.5703125" style="1" customWidth="1"/>
    <col min="4101" max="4101" width="12.28515625" style="1" customWidth="1"/>
    <col min="4102" max="4102" width="12.5703125" style="1" customWidth="1"/>
    <col min="4103" max="4103" width="1.5703125" style="1" customWidth="1"/>
    <col min="4104" max="4104" width="45.140625" style="1" customWidth="1"/>
    <col min="4105" max="4105" width="13.140625" style="1" customWidth="1"/>
    <col min="4106" max="4106" width="10.28515625" style="1" bestFit="1" customWidth="1"/>
    <col min="4107" max="4107" width="16.28515625" style="1" bestFit="1" customWidth="1"/>
    <col min="4108" max="4108" width="11.28515625" style="1" bestFit="1" customWidth="1"/>
    <col min="4109" max="4341" width="9.140625" style="1"/>
    <col min="4342" max="4342" width="5.140625" style="1" customWidth="1"/>
    <col min="4343" max="4343" width="33.5703125" style="1" customWidth="1"/>
    <col min="4344" max="4344" width="25.85546875" style="1" customWidth="1"/>
    <col min="4345" max="4345" width="0" style="1" hidden="1" customWidth="1"/>
    <col min="4346" max="4346" width="14.85546875" style="1" customWidth="1"/>
    <col min="4347" max="4347" width="13.85546875" style="1" customWidth="1"/>
    <col min="4348" max="4348" width="12.140625" style="1" customWidth="1"/>
    <col min="4349" max="4349" width="13.7109375" style="1" customWidth="1"/>
    <col min="4350" max="4350" width="8.5703125" style="1" customWidth="1"/>
    <col min="4351" max="4351" width="13" style="1" customWidth="1"/>
    <col min="4352" max="4352" width="9" style="1" customWidth="1"/>
    <col min="4353" max="4353" width="6.7109375" style="1" customWidth="1"/>
    <col min="4354" max="4354" width="9" style="1" customWidth="1"/>
    <col min="4355" max="4355" width="6.85546875" style="1" customWidth="1"/>
    <col min="4356" max="4356" width="10.5703125" style="1" customWidth="1"/>
    <col min="4357" max="4357" width="12.28515625" style="1" customWidth="1"/>
    <col min="4358" max="4358" width="12.5703125" style="1" customWidth="1"/>
    <col min="4359" max="4359" width="1.5703125" style="1" customWidth="1"/>
    <col min="4360" max="4360" width="45.140625" style="1" customWidth="1"/>
    <col min="4361" max="4361" width="13.140625" style="1" customWidth="1"/>
    <col min="4362" max="4362" width="10.28515625" style="1" bestFit="1" customWidth="1"/>
    <col min="4363" max="4363" width="16.28515625" style="1" bestFit="1" customWidth="1"/>
    <col min="4364" max="4364" width="11.28515625" style="1" bestFit="1" customWidth="1"/>
    <col min="4365" max="4597" width="9.140625" style="1"/>
    <col min="4598" max="4598" width="5.140625" style="1" customWidth="1"/>
    <col min="4599" max="4599" width="33.5703125" style="1" customWidth="1"/>
    <col min="4600" max="4600" width="25.85546875" style="1" customWidth="1"/>
    <col min="4601" max="4601" width="0" style="1" hidden="1" customWidth="1"/>
    <col min="4602" max="4602" width="14.85546875" style="1" customWidth="1"/>
    <col min="4603" max="4603" width="13.85546875" style="1" customWidth="1"/>
    <col min="4604" max="4604" width="12.140625" style="1" customWidth="1"/>
    <col min="4605" max="4605" width="13.7109375" style="1" customWidth="1"/>
    <col min="4606" max="4606" width="8.5703125" style="1" customWidth="1"/>
    <col min="4607" max="4607" width="13" style="1" customWidth="1"/>
    <col min="4608" max="4608" width="9" style="1" customWidth="1"/>
    <col min="4609" max="4609" width="6.7109375" style="1" customWidth="1"/>
    <col min="4610" max="4610" width="9" style="1" customWidth="1"/>
    <col min="4611" max="4611" width="6.85546875" style="1" customWidth="1"/>
    <col min="4612" max="4612" width="10.5703125" style="1" customWidth="1"/>
    <col min="4613" max="4613" width="12.28515625" style="1" customWidth="1"/>
    <col min="4614" max="4614" width="12.5703125" style="1" customWidth="1"/>
    <col min="4615" max="4615" width="1.5703125" style="1" customWidth="1"/>
    <col min="4616" max="4616" width="45.140625" style="1" customWidth="1"/>
    <col min="4617" max="4617" width="13.140625" style="1" customWidth="1"/>
    <col min="4618" max="4618" width="10.28515625" style="1" bestFit="1" customWidth="1"/>
    <col min="4619" max="4619" width="16.28515625" style="1" bestFit="1" customWidth="1"/>
    <col min="4620" max="4620" width="11.28515625" style="1" bestFit="1" customWidth="1"/>
    <col min="4621" max="4853" width="9.140625" style="1"/>
    <col min="4854" max="4854" width="5.140625" style="1" customWidth="1"/>
    <col min="4855" max="4855" width="33.5703125" style="1" customWidth="1"/>
    <col min="4856" max="4856" width="25.85546875" style="1" customWidth="1"/>
    <col min="4857" max="4857" width="0" style="1" hidden="1" customWidth="1"/>
    <col min="4858" max="4858" width="14.85546875" style="1" customWidth="1"/>
    <col min="4859" max="4859" width="13.85546875" style="1" customWidth="1"/>
    <col min="4860" max="4860" width="12.140625" style="1" customWidth="1"/>
    <col min="4861" max="4861" width="13.7109375" style="1" customWidth="1"/>
    <col min="4862" max="4862" width="8.5703125" style="1" customWidth="1"/>
    <col min="4863" max="4863" width="13" style="1" customWidth="1"/>
    <col min="4864" max="4864" width="9" style="1" customWidth="1"/>
    <col min="4865" max="4865" width="6.7109375" style="1" customWidth="1"/>
    <col min="4866" max="4866" width="9" style="1" customWidth="1"/>
    <col min="4867" max="4867" width="6.85546875" style="1" customWidth="1"/>
    <col min="4868" max="4868" width="10.5703125" style="1" customWidth="1"/>
    <col min="4869" max="4869" width="12.28515625" style="1" customWidth="1"/>
    <col min="4870" max="4870" width="12.5703125" style="1" customWidth="1"/>
    <col min="4871" max="4871" width="1.5703125" style="1" customWidth="1"/>
    <col min="4872" max="4872" width="45.140625" style="1" customWidth="1"/>
    <col min="4873" max="4873" width="13.140625" style="1" customWidth="1"/>
    <col min="4874" max="4874" width="10.28515625" style="1" bestFit="1" customWidth="1"/>
    <col min="4875" max="4875" width="16.28515625" style="1" bestFit="1" customWidth="1"/>
    <col min="4876" max="4876" width="11.28515625" style="1" bestFit="1" customWidth="1"/>
    <col min="4877" max="5109" width="9.140625" style="1"/>
    <col min="5110" max="5110" width="5.140625" style="1" customWidth="1"/>
    <col min="5111" max="5111" width="33.5703125" style="1" customWidth="1"/>
    <col min="5112" max="5112" width="25.85546875" style="1" customWidth="1"/>
    <col min="5113" max="5113" width="0" style="1" hidden="1" customWidth="1"/>
    <col min="5114" max="5114" width="14.85546875" style="1" customWidth="1"/>
    <col min="5115" max="5115" width="13.85546875" style="1" customWidth="1"/>
    <col min="5116" max="5116" width="12.140625" style="1" customWidth="1"/>
    <col min="5117" max="5117" width="13.7109375" style="1" customWidth="1"/>
    <col min="5118" max="5118" width="8.5703125" style="1" customWidth="1"/>
    <col min="5119" max="5119" width="13" style="1" customWidth="1"/>
    <col min="5120" max="5120" width="9" style="1" customWidth="1"/>
    <col min="5121" max="5121" width="6.7109375" style="1" customWidth="1"/>
    <col min="5122" max="5122" width="9" style="1" customWidth="1"/>
    <col min="5123" max="5123" width="6.85546875" style="1" customWidth="1"/>
    <col min="5124" max="5124" width="10.5703125" style="1" customWidth="1"/>
    <col min="5125" max="5125" width="12.28515625" style="1" customWidth="1"/>
    <col min="5126" max="5126" width="12.5703125" style="1" customWidth="1"/>
    <col min="5127" max="5127" width="1.5703125" style="1" customWidth="1"/>
    <col min="5128" max="5128" width="45.140625" style="1" customWidth="1"/>
    <col min="5129" max="5129" width="13.140625" style="1" customWidth="1"/>
    <col min="5130" max="5130" width="10.28515625" style="1" bestFit="1" customWidth="1"/>
    <col min="5131" max="5131" width="16.28515625" style="1" bestFit="1" customWidth="1"/>
    <col min="5132" max="5132" width="11.28515625" style="1" bestFit="1" customWidth="1"/>
    <col min="5133" max="5365" width="9.140625" style="1"/>
    <col min="5366" max="5366" width="5.140625" style="1" customWidth="1"/>
    <col min="5367" max="5367" width="33.5703125" style="1" customWidth="1"/>
    <col min="5368" max="5368" width="25.85546875" style="1" customWidth="1"/>
    <col min="5369" max="5369" width="0" style="1" hidden="1" customWidth="1"/>
    <col min="5370" max="5370" width="14.85546875" style="1" customWidth="1"/>
    <col min="5371" max="5371" width="13.85546875" style="1" customWidth="1"/>
    <col min="5372" max="5372" width="12.140625" style="1" customWidth="1"/>
    <col min="5373" max="5373" width="13.7109375" style="1" customWidth="1"/>
    <col min="5374" max="5374" width="8.5703125" style="1" customWidth="1"/>
    <col min="5375" max="5375" width="13" style="1" customWidth="1"/>
    <col min="5376" max="5376" width="9" style="1" customWidth="1"/>
    <col min="5377" max="5377" width="6.7109375" style="1" customWidth="1"/>
    <col min="5378" max="5378" width="9" style="1" customWidth="1"/>
    <col min="5379" max="5379" width="6.85546875" style="1" customWidth="1"/>
    <col min="5380" max="5380" width="10.5703125" style="1" customWidth="1"/>
    <col min="5381" max="5381" width="12.28515625" style="1" customWidth="1"/>
    <col min="5382" max="5382" width="12.5703125" style="1" customWidth="1"/>
    <col min="5383" max="5383" width="1.5703125" style="1" customWidth="1"/>
    <col min="5384" max="5384" width="45.140625" style="1" customWidth="1"/>
    <col min="5385" max="5385" width="13.140625" style="1" customWidth="1"/>
    <col min="5386" max="5386" width="10.28515625" style="1" bestFit="1" customWidth="1"/>
    <col min="5387" max="5387" width="16.28515625" style="1" bestFit="1" customWidth="1"/>
    <col min="5388" max="5388" width="11.28515625" style="1" bestFit="1" customWidth="1"/>
    <col min="5389" max="5621" width="9.140625" style="1"/>
    <col min="5622" max="5622" width="5.140625" style="1" customWidth="1"/>
    <col min="5623" max="5623" width="33.5703125" style="1" customWidth="1"/>
    <col min="5624" max="5624" width="25.85546875" style="1" customWidth="1"/>
    <col min="5625" max="5625" width="0" style="1" hidden="1" customWidth="1"/>
    <col min="5626" max="5626" width="14.85546875" style="1" customWidth="1"/>
    <col min="5627" max="5627" width="13.85546875" style="1" customWidth="1"/>
    <col min="5628" max="5628" width="12.140625" style="1" customWidth="1"/>
    <col min="5629" max="5629" width="13.7109375" style="1" customWidth="1"/>
    <col min="5630" max="5630" width="8.5703125" style="1" customWidth="1"/>
    <col min="5631" max="5631" width="13" style="1" customWidth="1"/>
    <col min="5632" max="5632" width="9" style="1" customWidth="1"/>
    <col min="5633" max="5633" width="6.7109375" style="1" customWidth="1"/>
    <col min="5634" max="5634" width="9" style="1" customWidth="1"/>
    <col min="5635" max="5635" width="6.85546875" style="1" customWidth="1"/>
    <col min="5636" max="5636" width="10.5703125" style="1" customWidth="1"/>
    <col min="5637" max="5637" width="12.28515625" style="1" customWidth="1"/>
    <col min="5638" max="5638" width="12.5703125" style="1" customWidth="1"/>
    <col min="5639" max="5639" width="1.5703125" style="1" customWidth="1"/>
    <col min="5640" max="5640" width="45.140625" style="1" customWidth="1"/>
    <col min="5641" max="5641" width="13.140625" style="1" customWidth="1"/>
    <col min="5642" max="5642" width="10.28515625" style="1" bestFit="1" customWidth="1"/>
    <col min="5643" max="5643" width="16.28515625" style="1" bestFit="1" customWidth="1"/>
    <col min="5644" max="5644" width="11.28515625" style="1" bestFit="1" customWidth="1"/>
    <col min="5645" max="5877" width="9.140625" style="1"/>
    <col min="5878" max="5878" width="5.140625" style="1" customWidth="1"/>
    <col min="5879" max="5879" width="33.5703125" style="1" customWidth="1"/>
    <col min="5880" max="5880" width="25.85546875" style="1" customWidth="1"/>
    <col min="5881" max="5881" width="0" style="1" hidden="1" customWidth="1"/>
    <col min="5882" max="5882" width="14.85546875" style="1" customWidth="1"/>
    <col min="5883" max="5883" width="13.85546875" style="1" customWidth="1"/>
    <col min="5884" max="5884" width="12.140625" style="1" customWidth="1"/>
    <col min="5885" max="5885" width="13.7109375" style="1" customWidth="1"/>
    <col min="5886" max="5886" width="8.5703125" style="1" customWidth="1"/>
    <col min="5887" max="5887" width="13" style="1" customWidth="1"/>
    <col min="5888" max="5888" width="9" style="1" customWidth="1"/>
    <col min="5889" max="5889" width="6.7109375" style="1" customWidth="1"/>
    <col min="5890" max="5890" width="9" style="1" customWidth="1"/>
    <col min="5891" max="5891" width="6.85546875" style="1" customWidth="1"/>
    <col min="5892" max="5892" width="10.5703125" style="1" customWidth="1"/>
    <col min="5893" max="5893" width="12.28515625" style="1" customWidth="1"/>
    <col min="5894" max="5894" width="12.5703125" style="1" customWidth="1"/>
    <col min="5895" max="5895" width="1.5703125" style="1" customWidth="1"/>
    <col min="5896" max="5896" width="45.140625" style="1" customWidth="1"/>
    <col min="5897" max="5897" width="13.140625" style="1" customWidth="1"/>
    <col min="5898" max="5898" width="10.28515625" style="1" bestFit="1" customWidth="1"/>
    <col min="5899" max="5899" width="16.28515625" style="1" bestFit="1" customWidth="1"/>
    <col min="5900" max="5900" width="11.28515625" style="1" bestFit="1" customWidth="1"/>
    <col min="5901" max="6133" width="9.140625" style="1"/>
    <col min="6134" max="6134" width="5.140625" style="1" customWidth="1"/>
    <col min="6135" max="6135" width="33.5703125" style="1" customWidth="1"/>
    <col min="6136" max="6136" width="25.85546875" style="1" customWidth="1"/>
    <col min="6137" max="6137" width="0" style="1" hidden="1" customWidth="1"/>
    <col min="6138" max="6138" width="14.85546875" style="1" customWidth="1"/>
    <col min="6139" max="6139" width="13.85546875" style="1" customWidth="1"/>
    <col min="6140" max="6140" width="12.140625" style="1" customWidth="1"/>
    <col min="6141" max="6141" width="13.7109375" style="1" customWidth="1"/>
    <col min="6142" max="6142" width="8.5703125" style="1" customWidth="1"/>
    <col min="6143" max="6143" width="13" style="1" customWidth="1"/>
    <col min="6144" max="6144" width="9" style="1" customWidth="1"/>
    <col min="6145" max="6145" width="6.7109375" style="1" customWidth="1"/>
    <col min="6146" max="6146" width="9" style="1" customWidth="1"/>
    <col min="6147" max="6147" width="6.85546875" style="1" customWidth="1"/>
    <col min="6148" max="6148" width="10.5703125" style="1" customWidth="1"/>
    <col min="6149" max="6149" width="12.28515625" style="1" customWidth="1"/>
    <col min="6150" max="6150" width="12.5703125" style="1" customWidth="1"/>
    <col min="6151" max="6151" width="1.5703125" style="1" customWidth="1"/>
    <col min="6152" max="6152" width="45.140625" style="1" customWidth="1"/>
    <col min="6153" max="6153" width="13.140625" style="1" customWidth="1"/>
    <col min="6154" max="6154" width="10.28515625" style="1" bestFit="1" customWidth="1"/>
    <col min="6155" max="6155" width="16.28515625" style="1" bestFit="1" customWidth="1"/>
    <col min="6156" max="6156" width="11.28515625" style="1" bestFit="1" customWidth="1"/>
    <col min="6157" max="6389" width="9.140625" style="1"/>
    <col min="6390" max="6390" width="5.140625" style="1" customWidth="1"/>
    <col min="6391" max="6391" width="33.5703125" style="1" customWidth="1"/>
    <col min="6392" max="6392" width="25.85546875" style="1" customWidth="1"/>
    <col min="6393" max="6393" width="0" style="1" hidden="1" customWidth="1"/>
    <col min="6394" max="6394" width="14.85546875" style="1" customWidth="1"/>
    <col min="6395" max="6395" width="13.85546875" style="1" customWidth="1"/>
    <col min="6396" max="6396" width="12.140625" style="1" customWidth="1"/>
    <col min="6397" max="6397" width="13.7109375" style="1" customWidth="1"/>
    <col min="6398" max="6398" width="8.5703125" style="1" customWidth="1"/>
    <col min="6399" max="6399" width="13" style="1" customWidth="1"/>
    <col min="6400" max="6400" width="9" style="1" customWidth="1"/>
    <col min="6401" max="6401" width="6.7109375" style="1" customWidth="1"/>
    <col min="6402" max="6402" width="9" style="1" customWidth="1"/>
    <col min="6403" max="6403" width="6.85546875" style="1" customWidth="1"/>
    <col min="6404" max="6404" width="10.5703125" style="1" customWidth="1"/>
    <col min="6405" max="6405" width="12.28515625" style="1" customWidth="1"/>
    <col min="6406" max="6406" width="12.5703125" style="1" customWidth="1"/>
    <col min="6407" max="6407" width="1.5703125" style="1" customWidth="1"/>
    <col min="6408" max="6408" width="45.140625" style="1" customWidth="1"/>
    <col min="6409" max="6409" width="13.140625" style="1" customWidth="1"/>
    <col min="6410" max="6410" width="10.28515625" style="1" bestFit="1" customWidth="1"/>
    <col min="6411" max="6411" width="16.28515625" style="1" bestFit="1" customWidth="1"/>
    <col min="6412" max="6412" width="11.28515625" style="1" bestFit="1" customWidth="1"/>
    <col min="6413" max="6645" width="9.140625" style="1"/>
    <col min="6646" max="6646" width="5.140625" style="1" customWidth="1"/>
    <col min="6647" max="6647" width="33.5703125" style="1" customWidth="1"/>
    <col min="6648" max="6648" width="25.85546875" style="1" customWidth="1"/>
    <col min="6649" max="6649" width="0" style="1" hidden="1" customWidth="1"/>
    <col min="6650" max="6650" width="14.85546875" style="1" customWidth="1"/>
    <col min="6651" max="6651" width="13.85546875" style="1" customWidth="1"/>
    <col min="6652" max="6652" width="12.140625" style="1" customWidth="1"/>
    <col min="6653" max="6653" width="13.7109375" style="1" customWidth="1"/>
    <col min="6654" max="6654" width="8.5703125" style="1" customWidth="1"/>
    <col min="6655" max="6655" width="13" style="1" customWidth="1"/>
    <col min="6656" max="6656" width="9" style="1" customWidth="1"/>
    <col min="6657" max="6657" width="6.7109375" style="1" customWidth="1"/>
    <col min="6658" max="6658" width="9" style="1" customWidth="1"/>
    <col min="6659" max="6659" width="6.85546875" style="1" customWidth="1"/>
    <col min="6660" max="6660" width="10.5703125" style="1" customWidth="1"/>
    <col min="6661" max="6661" width="12.28515625" style="1" customWidth="1"/>
    <col min="6662" max="6662" width="12.5703125" style="1" customWidth="1"/>
    <col min="6663" max="6663" width="1.5703125" style="1" customWidth="1"/>
    <col min="6664" max="6664" width="45.140625" style="1" customWidth="1"/>
    <col min="6665" max="6665" width="13.140625" style="1" customWidth="1"/>
    <col min="6666" max="6666" width="10.28515625" style="1" bestFit="1" customWidth="1"/>
    <col min="6667" max="6667" width="16.28515625" style="1" bestFit="1" customWidth="1"/>
    <col min="6668" max="6668" width="11.28515625" style="1" bestFit="1" customWidth="1"/>
    <col min="6669" max="6901" width="9.140625" style="1"/>
    <col min="6902" max="6902" width="5.140625" style="1" customWidth="1"/>
    <col min="6903" max="6903" width="33.5703125" style="1" customWidth="1"/>
    <col min="6904" max="6904" width="25.85546875" style="1" customWidth="1"/>
    <col min="6905" max="6905" width="0" style="1" hidden="1" customWidth="1"/>
    <col min="6906" max="6906" width="14.85546875" style="1" customWidth="1"/>
    <col min="6907" max="6907" width="13.85546875" style="1" customWidth="1"/>
    <col min="6908" max="6908" width="12.140625" style="1" customWidth="1"/>
    <col min="6909" max="6909" width="13.7109375" style="1" customWidth="1"/>
    <col min="6910" max="6910" width="8.5703125" style="1" customWidth="1"/>
    <col min="6911" max="6911" width="13" style="1" customWidth="1"/>
    <col min="6912" max="6912" width="9" style="1" customWidth="1"/>
    <col min="6913" max="6913" width="6.7109375" style="1" customWidth="1"/>
    <col min="6914" max="6914" width="9" style="1" customWidth="1"/>
    <col min="6915" max="6915" width="6.85546875" style="1" customWidth="1"/>
    <col min="6916" max="6916" width="10.5703125" style="1" customWidth="1"/>
    <col min="6917" max="6917" width="12.28515625" style="1" customWidth="1"/>
    <col min="6918" max="6918" width="12.5703125" style="1" customWidth="1"/>
    <col min="6919" max="6919" width="1.5703125" style="1" customWidth="1"/>
    <col min="6920" max="6920" width="45.140625" style="1" customWidth="1"/>
    <col min="6921" max="6921" width="13.140625" style="1" customWidth="1"/>
    <col min="6922" max="6922" width="10.28515625" style="1" bestFit="1" customWidth="1"/>
    <col min="6923" max="6923" width="16.28515625" style="1" bestFit="1" customWidth="1"/>
    <col min="6924" max="6924" width="11.28515625" style="1" bestFit="1" customWidth="1"/>
    <col min="6925" max="7157" width="9.140625" style="1"/>
    <col min="7158" max="7158" width="5.140625" style="1" customWidth="1"/>
    <col min="7159" max="7159" width="33.5703125" style="1" customWidth="1"/>
    <col min="7160" max="7160" width="25.85546875" style="1" customWidth="1"/>
    <col min="7161" max="7161" width="0" style="1" hidden="1" customWidth="1"/>
    <col min="7162" max="7162" width="14.85546875" style="1" customWidth="1"/>
    <col min="7163" max="7163" width="13.85546875" style="1" customWidth="1"/>
    <col min="7164" max="7164" width="12.140625" style="1" customWidth="1"/>
    <col min="7165" max="7165" width="13.7109375" style="1" customWidth="1"/>
    <col min="7166" max="7166" width="8.5703125" style="1" customWidth="1"/>
    <col min="7167" max="7167" width="13" style="1" customWidth="1"/>
    <col min="7168" max="7168" width="9" style="1" customWidth="1"/>
    <col min="7169" max="7169" width="6.7109375" style="1" customWidth="1"/>
    <col min="7170" max="7170" width="9" style="1" customWidth="1"/>
    <col min="7171" max="7171" width="6.85546875" style="1" customWidth="1"/>
    <col min="7172" max="7172" width="10.5703125" style="1" customWidth="1"/>
    <col min="7173" max="7173" width="12.28515625" style="1" customWidth="1"/>
    <col min="7174" max="7174" width="12.5703125" style="1" customWidth="1"/>
    <col min="7175" max="7175" width="1.5703125" style="1" customWidth="1"/>
    <col min="7176" max="7176" width="45.140625" style="1" customWidth="1"/>
    <col min="7177" max="7177" width="13.140625" style="1" customWidth="1"/>
    <col min="7178" max="7178" width="10.28515625" style="1" bestFit="1" customWidth="1"/>
    <col min="7179" max="7179" width="16.28515625" style="1" bestFit="1" customWidth="1"/>
    <col min="7180" max="7180" width="11.28515625" style="1" bestFit="1" customWidth="1"/>
    <col min="7181" max="7413" width="9.140625" style="1"/>
    <col min="7414" max="7414" width="5.140625" style="1" customWidth="1"/>
    <col min="7415" max="7415" width="33.5703125" style="1" customWidth="1"/>
    <col min="7416" max="7416" width="25.85546875" style="1" customWidth="1"/>
    <col min="7417" max="7417" width="0" style="1" hidden="1" customWidth="1"/>
    <col min="7418" max="7418" width="14.85546875" style="1" customWidth="1"/>
    <col min="7419" max="7419" width="13.85546875" style="1" customWidth="1"/>
    <col min="7420" max="7420" width="12.140625" style="1" customWidth="1"/>
    <col min="7421" max="7421" width="13.7109375" style="1" customWidth="1"/>
    <col min="7422" max="7422" width="8.5703125" style="1" customWidth="1"/>
    <col min="7423" max="7423" width="13" style="1" customWidth="1"/>
    <col min="7424" max="7424" width="9" style="1" customWidth="1"/>
    <col min="7425" max="7425" width="6.7109375" style="1" customWidth="1"/>
    <col min="7426" max="7426" width="9" style="1" customWidth="1"/>
    <col min="7427" max="7427" width="6.85546875" style="1" customWidth="1"/>
    <col min="7428" max="7428" width="10.5703125" style="1" customWidth="1"/>
    <col min="7429" max="7429" width="12.28515625" style="1" customWidth="1"/>
    <col min="7430" max="7430" width="12.5703125" style="1" customWidth="1"/>
    <col min="7431" max="7431" width="1.5703125" style="1" customWidth="1"/>
    <col min="7432" max="7432" width="45.140625" style="1" customWidth="1"/>
    <col min="7433" max="7433" width="13.140625" style="1" customWidth="1"/>
    <col min="7434" max="7434" width="10.28515625" style="1" bestFit="1" customWidth="1"/>
    <col min="7435" max="7435" width="16.28515625" style="1" bestFit="1" customWidth="1"/>
    <col min="7436" max="7436" width="11.28515625" style="1" bestFit="1" customWidth="1"/>
    <col min="7437" max="7669" width="9.140625" style="1"/>
    <col min="7670" max="7670" width="5.140625" style="1" customWidth="1"/>
    <col min="7671" max="7671" width="33.5703125" style="1" customWidth="1"/>
    <col min="7672" max="7672" width="25.85546875" style="1" customWidth="1"/>
    <col min="7673" max="7673" width="0" style="1" hidden="1" customWidth="1"/>
    <col min="7674" max="7674" width="14.85546875" style="1" customWidth="1"/>
    <col min="7675" max="7675" width="13.85546875" style="1" customWidth="1"/>
    <col min="7676" max="7676" width="12.140625" style="1" customWidth="1"/>
    <col min="7677" max="7677" width="13.7109375" style="1" customWidth="1"/>
    <col min="7678" max="7678" width="8.5703125" style="1" customWidth="1"/>
    <col min="7679" max="7679" width="13" style="1" customWidth="1"/>
    <col min="7680" max="7680" width="9" style="1" customWidth="1"/>
    <col min="7681" max="7681" width="6.7109375" style="1" customWidth="1"/>
    <col min="7682" max="7682" width="9" style="1" customWidth="1"/>
    <col min="7683" max="7683" width="6.85546875" style="1" customWidth="1"/>
    <col min="7684" max="7684" width="10.5703125" style="1" customWidth="1"/>
    <col min="7685" max="7685" width="12.28515625" style="1" customWidth="1"/>
    <col min="7686" max="7686" width="12.5703125" style="1" customWidth="1"/>
    <col min="7687" max="7687" width="1.5703125" style="1" customWidth="1"/>
    <col min="7688" max="7688" width="45.140625" style="1" customWidth="1"/>
    <col min="7689" max="7689" width="13.140625" style="1" customWidth="1"/>
    <col min="7690" max="7690" width="10.28515625" style="1" bestFit="1" customWidth="1"/>
    <col min="7691" max="7691" width="16.28515625" style="1" bestFit="1" customWidth="1"/>
    <col min="7692" max="7692" width="11.28515625" style="1" bestFit="1" customWidth="1"/>
    <col min="7693" max="7925" width="9.140625" style="1"/>
    <col min="7926" max="7926" width="5.140625" style="1" customWidth="1"/>
    <col min="7927" max="7927" width="33.5703125" style="1" customWidth="1"/>
    <col min="7928" max="7928" width="25.85546875" style="1" customWidth="1"/>
    <col min="7929" max="7929" width="0" style="1" hidden="1" customWidth="1"/>
    <col min="7930" max="7930" width="14.85546875" style="1" customWidth="1"/>
    <col min="7931" max="7931" width="13.85546875" style="1" customWidth="1"/>
    <col min="7932" max="7932" width="12.140625" style="1" customWidth="1"/>
    <col min="7933" max="7933" width="13.7109375" style="1" customWidth="1"/>
    <col min="7934" max="7934" width="8.5703125" style="1" customWidth="1"/>
    <col min="7935" max="7935" width="13" style="1" customWidth="1"/>
    <col min="7936" max="7936" width="9" style="1" customWidth="1"/>
    <col min="7937" max="7937" width="6.7109375" style="1" customWidth="1"/>
    <col min="7938" max="7938" width="9" style="1" customWidth="1"/>
    <col min="7939" max="7939" width="6.85546875" style="1" customWidth="1"/>
    <col min="7940" max="7940" width="10.5703125" style="1" customWidth="1"/>
    <col min="7941" max="7941" width="12.28515625" style="1" customWidth="1"/>
    <col min="7942" max="7942" width="12.5703125" style="1" customWidth="1"/>
    <col min="7943" max="7943" width="1.5703125" style="1" customWidth="1"/>
    <col min="7944" max="7944" width="45.140625" style="1" customWidth="1"/>
    <col min="7945" max="7945" width="13.140625" style="1" customWidth="1"/>
    <col min="7946" max="7946" width="10.28515625" style="1" bestFit="1" customWidth="1"/>
    <col min="7947" max="7947" width="16.28515625" style="1" bestFit="1" customWidth="1"/>
    <col min="7948" max="7948" width="11.28515625" style="1" bestFit="1" customWidth="1"/>
    <col min="7949" max="8181" width="9.140625" style="1"/>
    <col min="8182" max="8182" width="5.140625" style="1" customWidth="1"/>
    <col min="8183" max="8183" width="33.5703125" style="1" customWidth="1"/>
    <col min="8184" max="8184" width="25.85546875" style="1" customWidth="1"/>
    <col min="8185" max="8185" width="0" style="1" hidden="1" customWidth="1"/>
    <col min="8186" max="8186" width="14.85546875" style="1" customWidth="1"/>
    <col min="8187" max="8187" width="13.85546875" style="1" customWidth="1"/>
    <col min="8188" max="8188" width="12.140625" style="1" customWidth="1"/>
    <col min="8189" max="8189" width="13.7109375" style="1" customWidth="1"/>
    <col min="8190" max="8190" width="8.5703125" style="1" customWidth="1"/>
    <col min="8191" max="8191" width="13" style="1" customWidth="1"/>
    <col min="8192" max="8192" width="9" style="1" customWidth="1"/>
    <col min="8193" max="8193" width="6.7109375" style="1" customWidth="1"/>
    <col min="8194" max="8194" width="9" style="1" customWidth="1"/>
    <col min="8195" max="8195" width="6.85546875" style="1" customWidth="1"/>
    <col min="8196" max="8196" width="10.5703125" style="1" customWidth="1"/>
    <col min="8197" max="8197" width="12.28515625" style="1" customWidth="1"/>
    <col min="8198" max="8198" width="12.5703125" style="1" customWidth="1"/>
    <col min="8199" max="8199" width="1.5703125" style="1" customWidth="1"/>
    <col min="8200" max="8200" width="45.140625" style="1" customWidth="1"/>
    <col min="8201" max="8201" width="13.140625" style="1" customWidth="1"/>
    <col min="8202" max="8202" width="10.28515625" style="1" bestFit="1" customWidth="1"/>
    <col min="8203" max="8203" width="16.28515625" style="1" bestFit="1" customWidth="1"/>
    <col min="8204" max="8204" width="11.28515625" style="1" bestFit="1" customWidth="1"/>
    <col min="8205" max="8437" width="9.140625" style="1"/>
    <col min="8438" max="8438" width="5.140625" style="1" customWidth="1"/>
    <col min="8439" max="8439" width="33.5703125" style="1" customWidth="1"/>
    <col min="8440" max="8440" width="25.85546875" style="1" customWidth="1"/>
    <col min="8441" max="8441" width="0" style="1" hidden="1" customWidth="1"/>
    <col min="8442" max="8442" width="14.85546875" style="1" customWidth="1"/>
    <col min="8443" max="8443" width="13.85546875" style="1" customWidth="1"/>
    <col min="8444" max="8444" width="12.140625" style="1" customWidth="1"/>
    <col min="8445" max="8445" width="13.7109375" style="1" customWidth="1"/>
    <col min="8446" max="8446" width="8.5703125" style="1" customWidth="1"/>
    <col min="8447" max="8447" width="13" style="1" customWidth="1"/>
    <col min="8448" max="8448" width="9" style="1" customWidth="1"/>
    <col min="8449" max="8449" width="6.7109375" style="1" customWidth="1"/>
    <col min="8450" max="8450" width="9" style="1" customWidth="1"/>
    <col min="8451" max="8451" width="6.85546875" style="1" customWidth="1"/>
    <col min="8452" max="8452" width="10.5703125" style="1" customWidth="1"/>
    <col min="8453" max="8453" width="12.28515625" style="1" customWidth="1"/>
    <col min="8454" max="8454" width="12.5703125" style="1" customWidth="1"/>
    <col min="8455" max="8455" width="1.5703125" style="1" customWidth="1"/>
    <col min="8456" max="8456" width="45.140625" style="1" customWidth="1"/>
    <col min="8457" max="8457" width="13.140625" style="1" customWidth="1"/>
    <col min="8458" max="8458" width="10.28515625" style="1" bestFit="1" customWidth="1"/>
    <col min="8459" max="8459" width="16.28515625" style="1" bestFit="1" customWidth="1"/>
    <col min="8460" max="8460" width="11.28515625" style="1" bestFit="1" customWidth="1"/>
    <col min="8461" max="8693" width="9.140625" style="1"/>
    <col min="8694" max="8694" width="5.140625" style="1" customWidth="1"/>
    <col min="8695" max="8695" width="33.5703125" style="1" customWidth="1"/>
    <col min="8696" max="8696" width="25.85546875" style="1" customWidth="1"/>
    <col min="8697" max="8697" width="0" style="1" hidden="1" customWidth="1"/>
    <col min="8698" max="8698" width="14.85546875" style="1" customWidth="1"/>
    <col min="8699" max="8699" width="13.85546875" style="1" customWidth="1"/>
    <col min="8700" max="8700" width="12.140625" style="1" customWidth="1"/>
    <col min="8701" max="8701" width="13.7109375" style="1" customWidth="1"/>
    <col min="8702" max="8702" width="8.5703125" style="1" customWidth="1"/>
    <col min="8703" max="8703" width="13" style="1" customWidth="1"/>
    <col min="8704" max="8704" width="9" style="1" customWidth="1"/>
    <col min="8705" max="8705" width="6.7109375" style="1" customWidth="1"/>
    <col min="8706" max="8706" width="9" style="1" customWidth="1"/>
    <col min="8707" max="8707" width="6.85546875" style="1" customWidth="1"/>
    <col min="8708" max="8708" width="10.5703125" style="1" customWidth="1"/>
    <col min="8709" max="8709" width="12.28515625" style="1" customWidth="1"/>
    <col min="8710" max="8710" width="12.5703125" style="1" customWidth="1"/>
    <col min="8711" max="8711" width="1.5703125" style="1" customWidth="1"/>
    <col min="8712" max="8712" width="45.140625" style="1" customWidth="1"/>
    <col min="8713" max="8713" width="13.140625" style="1" customWidth="1"/>
    <col min="8714" max="8714" width="10.28515625" style="1" bestFit="1" customWidth="1"/>
    <col min="8715" max="8715" width="16.28515625" style="1" bestFit="1" customWidth="1"/>
    <col min="8716" max="8716" width="11.28515625" style="1" bestFit="1" customWidth="1"/>
    <col min="8717" max="8949" width="9.140625" style="1"/>
    <col min="8950" max="8950" width="5.140625" style="1" customWidth="1"/>
    <col min="8951" max="8951" width="33.5703125" style="1" customWidth="1"/>
    <col min="8952" max="8952" width="25.85546875" style="1" customWidth="1"/>
    <col min="8953" max="8953" width="0" style="1" hidden="1" customWidth="1"/>
    <col min="8954" max="8954" width="14.85546875" style="1" customWidth="1"/>
    <col min="8955" max="8955" width="13.85546875" style="1" customWidth="1"/>
    <col min="8956" max="8956" width="12.140625" style="1" customWidth="1"/>
    <col min="8957" max="8957" width="13.7109375" style="1" customWidth="1"/>
    <col min="8958" max="8958" width="8.5703125" style="1" customWidth="1"/>
    <col min="8959" max="8959" width="13" style="1" customWidth="1"/>
    <col min="8960" max="8960" width="9" style="1" customWidth="1"/>
    <col min="8961" max="8961" width="6.7109375" style="1" customWidth="1"/>
    <col min="8962" max="8962" width="9" style="1" customWidth="1"/>
    <col min="8963" max="8963" width="6.85546875" style="1" customWidth="1"/>
    <col min="8964" max="8964" width="10.5703125" style="1" customWidth="1"/>
    <col min="8965" max="8965" width="12.28515625" style="1" customWidth="1"/>
    <col min="8966" max="8966" width="12.5703125" style="1" customWidth="1"/>
    <col min="8967" max="8967" width="1.5703125" style="1" customWidth="1"/>
    <col min="8968" max="8968" width="45.140625" style="1" customWidth="1"/>
    <col min="8969" max="8969" width="13.140625" style="1" customWidth="1"/>
    <col min="8970" max="8970" width="10.28515625" style="1" bestFit="1" customWidth="1"/>
    <col min="8971" max="8971" width="16.28515625" style="1" bestFit="1" customWidth="1"/>
    <col min="8972" max="8972" width="11.28515625" style="1" bestFit="1" customWidth="1"/>
    <col min="8973" max="9205" width="9.140625" style="1"/>
    <col min="9206" max="9206" width="5.140625" style="1" customWidth="1"/>
    <col min="9207" max="9207" width="33.5703125" style="1" customWidth="1"/>
    <col min="9208" max="9208" width="25.85546875" style="1" customWidth="1"/>
    <col min="9209" max="9209" width="0" style="1" hidden="1" customWidth="1"/>
    <col min="9210" max="9210" width="14.85546875" style="1" customWidth="1"/>
    <col min="9211" max="9211" width="13.85546875" style="1" customWidth="1"/>
    <col min="9212" max="9212" width="12.140625" style="1" customWidth="1"/>
    <col min="9213" max="9213" width="13.7109375" style="1" customWidth="1"/>
    <col min="9214" max="9214" width="8.5703125" style="1" customWidth="1"/>
    <col min="9215" max="9215" width="13" style="1" customWidth="1"/>
    <col min="9216" max="9216" width="9" style="1" customWidth="1"/>
    <col min="9217" max="9217" width="6.7109375" style="1" customWidth="1"/>
    <col min="9218" max="9218" width="9" style="1" customWidth="1"/>
    <col min="9219" max="9219" width="6.85546875" style="1" customWidth="1"/>
    <col min="9220" max="9220" width="10.5703125" style="1" customWidth="1"/>
    <col min="9221" max="9221" width="12.28515625" style="1" customWidth="1"/>
    <col min="9222" max="9222" width="12.5703125" style="1" customWidth="1"/>
    <col min="9223" max="9223" width="1.5703125" style="1" customWidth="1"/>
    <col min="9224" max="9224" width="45.140625" style="1" customWidth="1"/>
    <col min="9225" max="9225" width="13.140625" style="1" customWidth="1"/>
    <col min="9226" max="9226" width="10.28515625" style="1" bestFit="1" customWidth="1"/>
    <col min="9227" max="9227" width="16.28515625" style="1" bestFit="1" customWidth="1"/>
    <col min="9228" max="9228" width="11.28515625" style="1" bestFit="1" customWidth="1"/>
    <col min="9229" max="9461" width="9.140625" style="1"/>
    <col min="9462" max="9462" width="5.140625" style="1" customWidth="1"/>
    <col min="9463" max="9463" width="33.5703125" style="1" customWidth="1"/>
    <col min="9464" max="9464" width="25.85546875" style="1" customWidth="1"/>
    <col min="9465" max="9465" width="0" style="1" hidden="1" customWidth="1"/>
    <col min="9466" max="9466" width="14.85546875" style="1" customWidth="1"/>
    <col min="9467" max="9467" width="13.85546875" style="1" customWidth="1"/>
    <col min="9468" max="9468" width="12.140625" style="1" customWidth="1"/>
    <col min="9469" max="9469" width="13.7109375" style="1" customWidth="1"/>
    <col min="9470" max="9470" width="8.5703125" style="1" customWidth="1"/>
    <col min="9471" max="9471" width="13" style="1" customWidth="1"/>
    <col min="9472" max="9472" width="9" style="1" customWidth="1"/>
    <col min="9473" max="9473" width="6.7109375" style="1" customWidth="1"/>
    <col min="9474" max="9474" width="9" style="1" customWidth="1"/>
    <col min="9475" max="9475" width="6.85546875" style="1" customWidth="1"/>
    <col min="9476" max="9476" width="10.5703125" style="1" customWidth="1"/>
    <col min="9477" max="9477" width="12.28515625" style="1" customWidth="1"/>
    <col min="9478" max="9478" width="12.5703125" style="1" customWidth="1"/>
    <col min="9479" max="9479" width="1.5703125" style="1" customWidth="1"/>
    <col min="9480" max="9480" width="45.140625" style="1" customWidth="1"/>
    <col min="9481" max="9481" width="13.140625" style="1" customWidth="1"/>
    <col min="9482" max="9482" width="10.28515625" style="1" bestFit="1" customWidth="1"/>
    <col min="9483" max="9483" width="16.28515625" style="1" bestFit="1" customWidth="1"/>
    <col min="9484" max="9484" width="11.28515625" style="1" bestFit="1" customWidth="1"/>
    <col min="9485" max="9717" width="9.140625" style="1"/>
    <col min="9718" max="9718" width="5.140625" style="1" customWidth="1"/>
    <col min="9719" max="9719" width="33.5703125" style="1" customWidth="1"/>
    <col min="9720" max="9720" width="25.85546875" style="1" customWidth="1"/>
    <col min="9721" max="9721" width="0" style="1" hidden="1" customWidth="1"/>
    <col min="9722" max="9722" width="14.85546875" style="1" customWidth="1"/>
    <col min="9723" max="9723" width="13.85546875" style="1" customWidth="1"/>
    <col min="9724" max="9724" width="12.140625" style="1" customWidth="1"/>
    <col min="9725" max="9725" width="13.7109375" style="1" customWidth="1"/>
    <col min="9726" max="9726" width="8.5703125" style="1" customWidth="1"/>
    <col min="9727" max="9727" width="13" style="1" customWidth="1"/>
    <col min="9728" max="9728" width="9" style="1" customWidth="1"/>
    <col min="9729" max="9729" width="6.7109375" style="1" customWidth="1"/>
    <col min="9730" max="9730" width="9" style="1" customWidth="1"/>
    <col min="9731" max="9731" width="6.85546875" style="1" customWidth="1"/>
    <col min="9732" max="9732" width="10.5703125" style="1" customWidth="1"/>
    <col min="9733" max="9733" width="12.28515625" style="1" customWidth="1"/>
    <col min="9734" max="9734" width="12.5703125" style="1" customWidth="1"/>
    <col min="9735" max="9735" width="1.5703125" style="1" customWidth="1"/>
    <col min="9736" max="9736" width="45.140625" style="1" customWidth="1"/>
    <col min="9737" max="9737" width="13.140625" style="1" customWidth="1"/>
    <col min="9738" max="9738" width="10.28515625" style="1" bestFit="1" customWidth="1"/>
    <col min="9739" max="9739" width="16.28515625" style="1" bestFit="1" customWidth="1"/>
    <col min="9740" max="9740" width="11.28515625" style="1" bestFit="1" customWidth="1"/>
    <col min="9741" max="9973" width="9.140625" style="1"/>
    <col min="9974" max="9974" width="5.140625" style="1" customWidth="1"/>
    <col min="9975" max="9975" width="33.5703125" style="1" customWidth="1"/>
    <col min="9976" max="9976" width="25.85546875" style="1" customWidth="1"/>
    <col min="9977" max="9977" width="0" style="1" hidden="1" customWidth="1"/>
    <col min="9978" max="9978" width="14.85546875" style="1" customWidth="1"/>
    <col min="9979" max="9979" width="13.85546875" style="1" customWidth="1"/>
    <col min="9980" max="9980" width="12.140625" style="1" customWidth="1"/>
    <col min="9981" max="9981" width="13.7109375" style="1" customWidth="1"/>
    <col min="9982" max="9982" width="8.5703125" style="1" customWidth="1"/>
    <col min="9983" max="9983" width="13" style="1" customWidth="1"/>
    <col min="9984" max="9984" width="9" style="1" customWidth="1"/>
    <col min="9985" max="9985" width="6.7109375" style="1" customWidth="1"/>
    <col min="9986" max="9986" width="9" style="1" customWidth="1"/>
    <col min="9987" max="9987" width="6.85546875" style="1" customWidth="1"/>
    <col min="9988" max="9988" width="10.5703125" style="1" customWidth="1"/>
    <col min="9989" max="9989" width="12.28515625" style="1" customWidth="1"/>
    <col min="9990" max="9990" width="12.5703125" style="1" customWidth="1"/>
    <col min="9991" max="9991" width="1.5703125" style="1" customWidth="1"/>
    <col min="9992" max="9992" width="45.140625" style="1" customWidth="1"/>
    <col min="9993" max="9993" width="13.140625" style="1" customWidth="1"/>
    <col min="9994" max="9994" width="10.28515625" style="1" bestFit="1" customWidth="1"/>
    <col min="9995" max="9995" width="16.28515625" style="1" bestFit="1" customWidth="1"/>
    <col min="9996" max="9996" width="11.28515625" style="1" bestFit="1" customWidth="1"/>
    <col min="9997" max="10229" width="9.140625" style="1"/>
    <col min="10230" max="10230" width="5.140625" style="1" customWidth="1"/>
    <col min="10231" max="10231" width="33.5703125" style="1" customWidth="1"/>
    <col min="10232" max="10232" width="25.85546875" style="1" customWidth="1"/>
    <col min="10233" max="10233" width="0" style="1" hidden="1" customWidth="1"/>
    <col min="10234" max="10234" width="14.85546875" style="1" customWidth="1"/>
    <col min="10235" max="10235" width="13.85546875" style="1" customWidth="1"/>
    <col min="10236" max="10236" width="12.140625" style="1" customWidth="1"/>
    <col min="10237" max="10237" width="13.7109375" style="1" customWidth="1"/>
    <col min="10238" max="10238" width="8.5703125" style="1" customWidth="1"/>
    <col min="10239" max="10239" width="13" style="1" customWidth="1"/>
    <col min="10240" max="10240" width="9" style="1" customWidth="1"/>
    <col min="10241" max="10241" width="6.7109375" style="1" customWidth="1"/>
    <col min="10242" max="10242" width="9" style="1" customWidth="1"/>
    <col min="10243" max="10243" width="6.85546875" style="1" customWidth="1"/>
    <col min="10244" max="10244" width="10.5703125" style="1" customWidth="1"/>
    <col min="10245" max="10245" width="12.28515625" style="1" customWidth="1"/>
    <col min="10246" max="10246" width="12.5703125" style="1" customWidth="1"/>
    <col min="10247" max="10247" width="1.5703125" style="1" customWidth="1"/>
    <col min="10248" max="10248" width="45.140625" style="1" customWidth="1"/>
    <col min="10249" max="10249" width="13.140625" style="1" customWidth="1"/>
    <col min="10250" max="10250" width="10.28515625" style="1" bestFit="1" customWidth="1"/>
    <col min="10251" max="10251" width="16.28515625" style="1" bestFit="1" customWidth="1"/>
    <col min="10252" max="10252" width="11.28515625" style="1" bestFit="1" customWidth="1"/>
    <col min="10253" max="10485" width="9.140625" style="1"/>
    <col min="10486" max="10486" width="5.140625" style="1" customWidth="1"/>
    <col min="10487" max="10487" width="33.5703125" style="1" customWidth="1"/>
    <col min="10488" max="10488" width="25.85546875" style="1" customWidth="1"/>
    <col min="10489" max="10489" width="0" style="1" hidden="1" customWidth="1"/>
    <col min="10490" max="10490" width="14.85546875" style="1" customWidth="1"/>
    <col min="10491" max="10491" width="13.85546875" style="1" customWidth="1"/>
    <col min="10492" max="10492" width="12.140625" style="1" customWidth="1"/>
    <col min="10493" max="10493" width="13.7109375" style="1" customWidth="1"/>
    <col min="10494" max="10494" width="8.5703125" style="1" customWidth="1"/>
    <col min="10495" max="10495" width="13" style="1" customWidth="1"/>
    <col min="10496" max="10496" width="9" style="1" customWidth="1"/>
    <col min="10497" max="10497" width="6.7109375" style="1" customWidth="1"/>
    <col min="10498" max="10498" width="9" style="1" customWidth="1"/>
    <col min="10499" max="10499" width="6.85546875" style="1" customWidth="1"/>
    <col min="10500" max="10500" width="10.5703125" style="1" customWidth="1"/>
    <col min="10501" max="10501" width="12.28515625" style="1" customWidth="1"/>
    <col min="10502" max="10502" width="12.5703125" style="1" customWidth="1"/>
    <col min="10503" max="10503" width="1.5703125" style="1" customWidth="1"/>
    <col min="10504" max="10504" width="45.140625" style="1" customWidth="1"/>
    <col min="10505" max="10505" width="13.140625" style="1" customWidth="1"/>
    <col min="10506" max="10506" width="10.28515625" style="1" bestFit="1" customWidth="1"/>
    <col min="10507" max="10507" width="16.28515625" style="1" bestFit="1" customWidth="1"/>
    <col min="10508" max="10508" width="11.28515625" style="1" bestFit="1" customWidth="1"/>
    <col min="10509" max="10741" width="9.140625" style="1"/>
    <col min="10742" max="10742" width="5.140625" style="1" customWidth="1"/>
    <col min="10743" max="10743" width="33.5703125" style="1" customWidth="1"/>
    <col min="10744" max="10744" width="25.85546875" style="1" customWidth="1"/>
    <col min="10745" max="10745" width="0" style="1" hidden="1" customWidth="1"/>
    <col min="10746" max="10746" width="14.85546875" style="1" customWidth="1"/>
    <col min="10747" max="10747" width="13.85546875" style="1" customWidth="1"/>
    <col min="10748" max="10748" width="12.140625" style="1" customWidth="1"/>
    <col min="10749" max="10749" width="13.7109375" style="1" customWidth="1"/>
    <col min="10750" max="10750" width="8.5703125" style="1" customWidth="1"/>
    <col min="10751" max="10751" width="13" style="1" customWidth="1"/>
    <col min="10752" max="10752" width="9" style="1" customWidth="1"/>
    <col min="10753" max="10753" width="6.7109375" style="1" customWidth="1"/>
    <col min="10754" max="10754" width="9" style="1" customWidth="1"/>
    <col min="10755" max="10755" width="6.85546875" style="1" customWidth="1"/>
    <col min="10756" max="10756" width="10.5703125" style="1" customWidth="1"/>
    <col min="10757" max="10757" width="12.28515625" style="1" customWidth="1"/>
    <col min="10758" max="10758" width="12.5703125" style="1" customWidth="1"/>
    <col min="10759" max="10759" width="1.5703125" style="1" customWidth="1"/>
    <col min="10760" max="10760" width="45.140625" style="1" customWidth="1"/>
    <col min="10761" max="10761" width="13.140625" style="1" customWidth="1"/>
    <col min="10762" max="10762" width="10.28515625" style="1" bestFit="1" customWidth="1"/>
    <col min="10763" max="10763" width="16.28515625" style="1" bestFit="1" customWidth="1"/>
    <col min="10764" max="10764" width="11.28515625" style="1" bestFit="1" customWidth="1"/>
    <col min="10765" max="10997" width="9.140625" style="1"/>
    <col min="10998" max="10998" width="5.140625" style="1" customWidth="1"/>
    <col min="10999" max="10999" width="33.5703125" style="1" customWidth="1"/>
    <col min="11000" max="11000" width="25.85546875" style="1" customWidth="1"/>
    <col min="11001" max="11001" width="0" style="1" hidden="1" customWidth="1"/>
    <col min="11002" max="11002" width="14.85546875" style="1" customWidth="1"/>
    <col min="11003" max="11003" width="13.85546875" style="1" customWidth="1"/>
    <col min="11004" max="11004" width="12.140625" style="1" customWidth="1"/>
    <col min="11005" max="11005" width="13.7109375" style="1" customWidth="1"/>
    <col min="11006" max="11006" width="8.5703125" style="1" customWidth="1"/>
    <col min="11007" max="11007" width="13" style="1" customWidth="1"/>
    <col min="11008" max="11008" width="9" style="1" customWidth="1"/>
    <col min="11009" max="11009" width="6.7109375" style="1" customWidth="1"/>
    <col min="11010" max="11010" width="9" style="1" customWidth="1"/>
    <col min="11011" max="11011" width="6.85546875" style="1" customWidth="1"/>
    <col min="11012" max="11012" width="10.5703125" style="1" customWidth="1"/>
    <col min="11013" max="11013" width="12.28515625" style="1" customWidth="1"/>
    <col min="11014" max="11014" width="12.5703125" style="1" customWidth="1"/>
    <col min="11015" max="11015" width="1.5703125" style="1" customWidth="1"/>
    <col min="11016" max="11016" width="45.140625" style="1" customWidth="1"/>
    <col min="11017" max="11017" width="13.140625" style="1" customWidth="1"/>
    <col min="11018" max="11018" width="10.28515625" style="1" bestFit="1" customWidth="1"/>
    <col min="11019" max="11019" width="16.28515625" style="1" bestFit="1" customWidth="1"/>
    <col min="11020" max="11020" width="11.28515625" style="1" bestFit="1" customWidth="1"/>
    <col min="11021" max="11253" width="9.140625" style="1"/>
    <col min="11254" max="11254" width="5.140625" style="1" customWidth="1"/>
    <col min="11255" max="11255" width="33.5703125" style="1" customWidth="1"/>
    <col min="11256" max="11256" width="25.85546875" style="1" customWidth="1"/>
    <col min="11257" max="11257" width="0" style="1" hidden="1" customWidth="1"/>
    <col min="11258" max="11258" width="14.85546875" style="1" customWidth="1"/>
    <col min="11259" max="11259" width="13.85546875" style="1" customWidth="1"/>
    <col min="11260" max="11260" width="12.140625" style="1" customWidth="1"/>
    <col min="11261" max="11261" width="13.7109375" style="1" customWidth="1"/>
    <col min="11262" max="11262" width="8.5703125" style="1" customWidth="1"/>
    <col min="11263" max="11263" width="13" style="1" customWidth="1"/>
    <col min="11264" max="11264" width="9" style="1" customWidth="1"/>
    <col min="11265" max="11265" width="6.7109375" style="1" customWidth="1"/>
    <col min="11266" max="11266" width="9" style="1" customWidth="1"/>
    <col min="11267" max="11267" width="6.85546875" style="1" customWidth="1"/>
    <col min="11268" max="11268" width="10.5703125" style="1" customWidth="1"/>
    <col min="11269" max="11269" width="12.28515625" style="1" customWidth="1"/>
    <col min="11270" max="11270" width="12.5703125" style="1" customWidth="1"/>
    <col min="11271" max="11271" width="1.5703125" style="1" customWidth="1"/>
    <col min="11272" max="11272" width="45.140625" style="1" customWidth="1"/>
    <col min="11273" max="11273" width="13.140625" style="1" customWidth="1"/>
    <col min="11274" max="11274" width="10.28515625" style="1" bestFit="1" customWidth="1"/>
    <col min="11275" max="11275" width="16.28515625" style="1" bestFit="1" customWidth="1"/>
    <col min="11276" max="11276" width="11.28515625" style="1" bestFit="1" customWidth="1"/>
    <col min="11277" max="11509" width="9.140625" style="1"/>
    <col min="11510" max="11510" width="5.140625" style="1" customWidth="1"/>
    <col min="11511" max="11511" width="33.5703125" style="1" customWidth="1"/>
    <col min="11512" max="11512" width="25.85546875" style="1" customWidth="1"/>
    <col min="11513" max="11513" width="0" style="1" hidden="1" customWidth="1"/>
    <col min="11514" max="11514" width="14.85546875" style="1" customWidth="1"/>
    <col min="11515" max="11515" width="13.85546875" style="1" customWidth="1"/>
    <col min="11516" max="11516" width="12.140625" style="1" customWidth="1"/>
    <col min="11517" max="11517" width="13.7109375" style="1" customWidth="1"/>
    <col min="11518" max="11518" width="8.5703125" style="1" customWidth="1"/>
    <col min="11519" max="11519" width="13" style="1" customWidth="1"/>
    <col min="11520" max="11520" width="9" style="1" customWidth="1"/>
    <col min="11521" max="11521" width="6.7109375" style="1" customWidth="1"/>
    <col min="11522" max="11522" width="9" style="1" customWidth="1"/>
    <col min="11523" max="11523" width="6.85546875" style="1" customWidth="1"/>
    <col min="11524" max="11524" width="10.5703125" style="1" customWidth="1"/>
    <col min="11525" max="11525" width="12.28515625" style="1" customWidth="1"/>
    <col min="11526" max="11526" width="12.5703125" style="1" customWidth="1"/>
    <col min="11527" max="11527" width="1.5703125" style="1" customWidth="1"/>
    <col min="11528" max="11528" width="45.140625" style="1" customWidth="1"/>
    <col min="11529" max="11529" width="13.140625" style="1" customWidth="1"/>
    <col min="11530" max="11530" width="10.28515625" style="1" bestFit="1" customWidth="1"/>
    <col min="11531" max="11531" width="16.28515625" style="1" bestFit="1" customWidth="1"/>
    <col min="11532" max="11532" width="11.28515625" style="1" bestFit="1" customWidth="1"/>
    <col min="11533" max="11765" width="9.140625" style="1"/>
    <col min="11766" max="11766" width="5.140625" style="1" customWidth="1"/>
    <col min="11767" max="11767" width="33.5703125" style="1" customWidth="1"/>
    <col min="11768" max="11768" width="25.85546875" style="1" customWidth="1"/>
    <col min="11769" max="11769" width="0" style="1" hidden="1" customWidth="1"/>
    <col min="11770" max="11770" width="14.85546875" style="1" customWidth="1"/>
    <col min="11771" max="11771" width="13.85546875" style="1" customWidth="1"/>
    <col min="11772" max="11772" width="12.140625" style="1" customWidth="1"/>
    <col min="11773" max="11773" width="13.7109375" style="1" customWidth="1"/>
    <col min="11774" max="11774" width="8.5703125" style="1" customWidth="1"/>
    <col min="11775" max="11775" width="13" style="1" customWidth="1"/>
    <col min="11776" max="11776" width="9" style="1" customWidth="1"/>
    <col min="11777" max="11777" width="6.7109375" style="1" customWidth="1"/>
    <col min="11778" max="11778" width="9" style="1" customWidth="1"/>
    <col min="11779" max="11779" width="6.85546875" style="1" customWidth="1"/>
    <col min="11780" max="11780" width="10.5703125" style="1" customWidth="1"/>
    <col min="11781" max="11781" width="12.28515625" style="1" customWidth="1"/>
    <col min="11782" max="11782" width="12.5703125" style="1" customWidth="1"/>
    <col min="11783" max="11783" width="1.5703125" style="1" customWidth="1"/>
    <col min="11784" max="11784" width="45.140625" style="1" customWidth="1"/>
    <col min="11785" max="11785" width="13.140625" style="1" customWidth="1"/>
    <col min="11786" max="11786" width="10.28515625" style="1" bestFit="1" customWidth="1"/>
    <col min="11787" max="11787" width="16.28515625" style="1" bestFit="1" customWidth="1"/>
    <col min="11788" max="11788" width="11.28515625" style="1" bestFit="1" customWidth="1"/>
    <col min="11789" max="12021" width="9.140625" style="1"/>
    <col min="12022" max="12022" width="5.140625" style="1" customWidth="1"/>
    <col min="12023" max="12023" width="33.5703125" style="1" customWidth="1"/>
    <col min="12024" max="12024" width="25.85546875" style="1" customWidth="1"/>
    <col min="12025" max="12025" width="0" style="1" hidden="1" customWidth="1"/>
    <col min="12026" max="12026" width="14.85546875" style="1" customWidth="1"/>
    <col min="12027" max="12027" width="13.85546875" style="1" customWidth="1"/>
    <col min="12028" max="12028" width="12.140625" style="1" customWidth="1"/>
    <col min="12029" max="12029" width="13.7109375" style="1" customWidth="1"/>
    <col min="12030" max="12030" width="8.5703125" style="1" customWidth="1"/>
    <col min="12031" max="12031" width="13" style="1" customWidth="1"/>
    <col min="12032" max="12032" width="9" style="1" customWidth="1"/>
    <col min="12033" max="12033" width="6.7109375" style="1" customWidth="1"/>
    <col min="12034" max="12034" width="9" style="1" customWidth="1"/>
    <col min="12035" max="12035" width="6.85546875" style="1" customWidth="1"/>
    <col min="12036" max="12036" width="10.5703125" style="1" customWidth="1"/>
    <col min="12037" max="12037" width="12.28515625" style="1" customWidth="1"/>
    <col min="12038" max="12038" width="12.5703125" style="1" customWidth="1"/>
    <col min="12039" max="12039" width="1.5703125" style="1" customWidth="1"/>
    <col min="12040" max="12040" width="45.140625" style="1" customWidth="1"/>
    <col min="12041" max="12041" width="13.140625" style="1" customWidth="1"/>
    <col min="12042" max="12042" width="10.28515625" style="1" bestFit="1" customWidth="1"/>
    <col min="12043" max="12043" width="16.28515625" style="1" bestFit="1" customWidth="1"/>
    <col min="12044" max="12044" width="11.28515625" style="1" bestFit="1" customWidth="1"/>
    <col min="12045" max="12277" width="9.140625" style="1"/>
    <col min="12278" max="12278" width="5.140625" style="1" customWidth="1"/>
    <col min="12279" max="12279" width="33.5703125" style="1" customWidth="1"/>
    <col min="12280" max="12280" width="25.85546875" style="1" customWidth="1"/>
    <col min="12281" max="12281" width="0" style="1" hidden="1" customWidth="1"/>
    <col min="12282" max="12282" width="14.85546875" style="1" customWidth="1"/>
    <col min="12283" max="12283" width="13.85546875" style="1" customWidth="1"/>
    <col min="12284" max="12284" width="12.140625" style="1" customWidth="1"/>
    <col min="12285" max="12285" width="13.7109375" style="1" customWidth="1"/>
    <col min="12286" max="12286" width="8.5703125" style="1" customWidth="1"/>
    <col min="12287" max="12287" width="13" style="1" customWidth="1"/>
    <col min="12288" max="12288" width="9" style="1" customWidth="1"/>
    <col min="12289" max="12289" width="6.7109375" style="1" customWidth="1"/>
    <col min="12290" max="12290" width="9" style="1" customWidth="1"/>
    <col min="12291" max="12291" width="6.85546875" style="1" customWidth="1"/>
    <col min="12292" max="12292" width="10.5703125" style="1" customWidth="1"/>
    <col min="12293" max="12293" width="12.28515625" style="1" customWidth="1"/>
    <col min="12294" max="12294" width="12.5703125" style="1" customWidth="1"/>
    <col min="12295" max="12295" width="1.5703125" style="1" customWidth="1"/>
    <col min="12296" max="12296" width="45.140625" style="1" customWidth="1"/>
    <col min="12297" max="12297" width="13.140625" style="1" customWidth="1"/>
    <col min="12298" max="12298" width="10.28515625" style="1" bestFit="1" customWidth="1"/>
    <col min="12299" max="12299" width="16.28515625" style="1" bestFit="1" customWidth="1"/>
    <col min="12300" max="12300" width="11.28515625" style="1" bestFit="1" customWidth="1"/>
    <col min="12301" max="12533" width="9.140625" style="1"/>
    <col min="12534" max="12534" width="5.140625" style="1" customWidth="1"/>
    <col min="12535" max="12535" width="33.5703125" style="1" customWidth="1"/>
    <col min="12536" max="12536" width="25.85546875" style="1" customWidth="1"/>
    <col min="12537" max="12537" width="0" style="1" hidden="1" customWidth="1"/>
    <col min="12538" max="12538" width="14.85546875" style="1" customWidth="1"/>
    <col min="12539" max="12539" width="13.85546875" style="1" customWidth="1"/>
    <col min="12540" max="12540" width="12.140625" style="1" customWidth="1"/>
    <col min="12541" max="12541" width="13.7109375" style="1" customWidth="1"/>
    <col min="12542" max="12542" width="8.5703125" style="1" customWidth="1"/>
    <col min="12543" max="12543" width="13" style="1" customWidth="1"/>
    <col min="12544" max="12544" width="9" style="1" customWidth="1"/>
    <col min="12545" max="12545" width="6.7109375" style="1" customWidth="1"/>
    <col min="12546" max="12546" width="9" style="1" customWidth="1"/>
    <col min="12547" max="12547" width="6.85546875" style="1" customWidth="1"/>
    <col min="12548" max="12548" width="10.5703125" style="1" customWidth="1"/>
    <col min="12549" max="12549" width="12.28515625" style="1" customWidth="1"/>
    <col min="12550" max="12550" width="12.5703125" style="1" customWidth="1"/>
    <col min="12551" max="12551" width="1.5703125" style="1" customWidth="1"/>
    <col min="12552" max="12552" width="45.140625" style="1" customWidth="1"/>
    <col min="12553" max="12553" width="13.140625" style="1" customWidth="1"/>
    <col min="12554" max="12554" width="10.28515625" style="1" bestFit="1" customWidth="1"/>
    <col min="12555" max="12555" width="16.28515625" style="1" bestFit="1" customWidth="1"/>
    <col min="12556" max="12556" width="11.28515625" style="1" bestFit="1" customWidth="1"/>
    <col min="12557" max="12789" width="9.140625" style="1"/>
    <col min="12790" max="12790" width="5.140625" style="1" customWidth="1"/>
    <col min="12791" max="12791" width="33.5703125" style="1" customWidth="1"/>
    <col min="12792" max="12792" width="25.85546875" style="1" customWidth="1"/>
    <col min="12793" max="12793" width="0" style="1" hidden="1" customWidth="1"/>
    <col min="12794" max="12794" width="14.85546875" style="1" customWidth="1"/>
    <col min="12795" max="12795" width="13.85546875" style="1" customWidth="1"/>
    <col min="12796" max="12796" width="12.140625" style="1" customWidth="1"/>
    <col min="12797" max="12797" width="13.7109375" style="1" customWidth="1"/>
    <col min="12798" max="12798" width="8.5703125" style="1" customWidth="1"/>
    <col min="12799" max="12799" width="13" style="1" customWidth="1"/>
    <col min="12800" max="12800" width="9" style="1" customWidth="1"/>
    <col min="12801" max="12801" width="6.7109375" style="1" customWidth="1"/>
    <col min="12802" max="12802" width="9" style="1" customWidth="1"/>
    <col min="12803" max="12803" width="6.85546875" style="1" customWidth="1"/>
    <col min="12804" max="12804" width="10.5703125" style="1" customWidth="1"/>
    <col min="12805" max="12805" width="12.28515625" style="1" customWidth="1"/>
    <col min="12806" max="12806" width="12.5703125" style="1" customWidth="1"/>
    <col min="12807" max="12807" width="1.5703125" style="1" customWidth="1"/>
    <col min="12808" max="12808" width="45.140625" style="1" customWidth="1"/>
    <col min="12809" max="12809" width="13.140625" style="1" customWidth="1"/>
    <col min="12810" max="12810" width="10.28515625" style="1" bestFit="1" customWidth="1"/>
    <col min="12811" max="12811" width="16.28515625" style="1" bestFit="1" customWidth="1"/>
    <col min="12812" max="12812" width="11.28515625" style="1" bestFit="1" customWidth="1"/>
    <col min="12813" max="13045" width="9.140625" style="1"/>
    <col min="13046" max="13046" width="5.140625" style="1" customWidth="1"/>
    <col min="13047" max="13047" width="33.5703125" style="1" customWidth="1"/>
    <col min="13048" max="13048" width="25.85546875" style="1" customWidth="1"/>
    <col min="13049" max="13049" width="0" style="1" hidden="1" customWidth="1"/>
    <col min="13050" max="13050" width="14.85546875" style="1" customWidth="1"/>
    <col min="13051" max="13051" width="13.85546875" style="1" customWidth="1"/>
    <col min="13052" max="13052" width="12.140625" style="1" customWidth="1"/>
    <col min="13053" max="13053" width="13.7109375" style="1" customWidth="1"/>
    <col min="13054" max="13054" width="8.5703125" style="1" customWidth="1"/>
    <col min="13055" max="13055" width="13" style="1" customWidth="1"/>
    <col min="13056" max="13056" width="9" style="1" customWidth="1"/>
    <col min="13057" max="13057" width="6.7109375" style="1" customWidth="1"/>
    <col min="13058" max="13058" width="9" style="1" customWidth="1"/>
    <col min="13059" max="13059" width="6.85546875" style="1" customWidth="1"/>
    <col min="13060" max="13060" width="10.5703125" style="1" customWidth="1"/>
    <col min="13061" max="13061" width="12.28515625" style="1" customWidth="1"/>
    <col min="13062" max="13062" width="12.5703125" style="1" customWidth="1"/>
    <col min="13063" max="13063" width="1.5703125" style="1" customWidth="1"/>
    <col min="13064" max="13064" width="45.140625" style="1" customWidth="1"/>
    <col min="13065" max="13065" width="13.140625" style="1" customWidth="1"/>
    <col min="13066" max="13066" width="10.28515625" style="1" bestFit="1" customWidth="1"/>
    <col min="13067" max="13067" width="16.28515625" style="1" bestFit="1" customWidth="1"/>
    <col min="13068" max="13068" width="11.28515625" style="1" bestFit="1" customWidth="1"/>
    <col min="13069" max="13301" width="9.140625" style="1"/>
    <col min="13302" max="13302" width="5.140625" style="1" customWidth="1"/>
    <col min="13303" max="13303" width="33.5703125" style="1" customWidth="1"/>
    <col min="13304" max="13304" width="25.85546875" style="1" customWidth="1"/>
    <col min="13305" max="13305" width="0" style="1" hidden="1" customWidth="1"/>
    <col min="13306" max="13306" width="14.85546875" style="1" customWidth="1"/>
    <col min="13307" max="13307" width="13.85546875" style="1" customWidth="1"/>
    <col min="13308" max="13308" width="12.140625" style="1" customWidth="1"/>
    <col min="13309" max="13309" width="13.7109375" style="1" customWidth="1"/>
    <col min="13310" max="13310" width="8.5703125" style="1" customWidth="1"/>
    <col min="13311" max="13311" width="13" style="1" customWidth="1"/>
    <col min="13312" max="13312" width="9" style="1" customWidth="1"/>
    <col min="13313" max="13313" width="6.7109375" style="1" customWidth="1"/>
    <col min="13314" max="13314" width="9" style="1" customWidth="1"/>
    <col min="13315" max="13315" width="6.85546875" style="1" customWidth="1"/>
    <col min="13316" max="13316" width="10.5703125" style="1" customWidth="1"/>
    <col min="13317" max="13317" width="12.28515625" style="1" customWidth="1"/>
    <col min="13318" max="13318" width="12.5703125" style="1" customWidth="1"/>
    <col min="13319" max="13319" width="1.5703125" style="1" customWidth="1"/>
    <col min="13320" max="13320" width="45.140625" style="1" customWidth="1"/>
    <col min="13321" max="13321" width="13.140625" style="1" customWidth="1"/>
    <col min="13322" max="13322" width="10.28515625" style="1" bestFit="1" customWidth="1"/>
    <col min="13323" max="13323" width="16.28515625" style="1" bestFit="1" customWidth="1"/>
    <col min="13324" max="13324" width="11.28515625" style="1" bestFit="1" customWidth="1"/>
    <col min="13325" max="13557" width="9.140625" style="1"/>
    <col min="13558" max="13558" width="5.140625" style="1" customWidth="1"/>
    <col min="13559" max="13559" width="33.5703125" style="1" customWidth="1"/>
    <col min="13560" max="13560" width="25.85546875" style="1" customWidth="1"/>
    <col min="13561" max="13561" width="0" style="1" hidden="1" customWidth="1"/>
    <col min="13562" max="13562" width="14.85546875" style="1" customWidth="1"/>
    <col min="13563" max="13563" width="13.85546875" style="1" customWidth="1"/>
    <col min="13564" max="13564" width="12.140625" style="1" customWidth="1"/>
    <col min="13565" max="13565" width="13.7109375" style="1" customWidth="1"/>
    <col min="13566" max="13566" width="8.5703125" style="1" customWidth="1"/>
    <col min="13567" max="13567" width="13" style="1" customWidth="1"/>
    <col min="13568" max="13568" width="9" style="1" customWidth="1"/>
    <col min="13569" max="13569" width="6.7109375" style="1" customWidth="1"/>
    <col min="13570" max="13570" width="9" style="1" customWidth="1"/>
    <col min="13571" max="13571" width="6.85546875" style="1" customWidth="1"/>
    <col min="13572" max="13572" width="10.5703125" style="1" customWidth="1"/>
    <col min="13573" max="13573" width="12.28515625" style="1" customWidth="1"/>
    <col min="13574" max="13574" width="12.5703125" style="1" customWidth="1"/>
    <col min="13575" max="13575" width="1.5703125" style="1" customWidth="1"/>
    <col min="13576" max="13576" width="45.140625" style="1" customWidth="1"/>
    <col min="13577" max="13577" width="13.140625" style="1" customWidth="1"/>
    <col min="13578" max="13578" width="10.28515625" style="1" bestFit="1" customWidth="1"/>
    <col min="13579" max="13579" width="16.28515625" style="1" bestFit="1" customWidth="1"/>
    <col min="13580" max="13580" width="11.28515625" style="1" bestFit="1" customWidth="1"/>
    <col min="13581" max="13813" width="9.140625" style="1"/>
    <col min="13814" max="13814" width="5.140625" style="1" customWidth="1"/>
    <col min="13815" max="13815" width="33.5703125" style="1" customWidth="1"/>
    <col min="13816" max="13816" width="25.85546875" style="1" customWidth="1"/>
    <col min="13817" max="13817" width="0" style="1" hidden="1" customWidth="1"/>
    <col min="13818" max="13818" width="14.85546875" style="1" customWidth="1"/>
    <col min="13819" max="13819" width="13.85546875" style="1" customWidth="1"/>
    <col min="13820" max="13820" width="12.140625" style="1" customWidth="1"/>
    <col min="13821" max="13821" width="13.7109375" style="1" customWidth="1"/>
    <col min="13822" max="13822" width="8.5703125" style="1" customWidth="1"/>
    <col min="13823" max="13823" width="13" style="1" customWidth="1"/>
    <col min="13824" max="13824" width="9" style="1" customWidth="1"/>
    <col min="13825" max="13825" width="6.7109375" style="1" customWidth="1"/>
    <col min="13826" max="13826" width="9" style="1" customWidth="1"/>
    <col min="13827" max="13827" width="6.85546875" style="1" customWidth="1"/>
    <col min="13828" max="13828" width="10.5703125" style="1" customWidth="1"/>
    <col min="13829" max="13829" width="12.28515625" style="1" customWidth="1"/>
    <col min="13830" max="13830" width="12.5703125" style="1" customWidth="1"/>
    <col min="13831" max="13831" width="1.5703125" style="1" customWidth="1"/>
    <col min="13832" max="13832" width="45.140625" style="1" customWidth="1"/>
    <col min="13833" max="13833" width="13.140625" style="1" customWidth="1"/>
    <col min="13834" max="13834" width="10.28515625" style="1" bestFit="1" customWidth="1"/>
    <col min="13835" max="13835" width="16.28515625" style="1" bestFit="1" customWidth="1"/>
    <col min="13836" max="13836" width="11.28515625" style="1" bestFit="1" customWidth="1"/>
    <col min="13837" max="14069" width="9.140625" style="1"/>
    <col min="14070" max="14070" width="5.140625" style="1" customWidth="1"/>
    <col min="14071" max="14071" width="33.5703125" style="1" customWidth="1"/>
    <col min="14072" max="14072" width="25.85546875" style="1" customWidth="1"/>
    <col min="14073" max="14073" width="0" style="1" hidden="1" customWidth="1"/>
    <col min="14074" max="14074" width="14.85546875" style="1" customWidth="1"/>
    <col min="14075" max="14075" width="13.85546875" style="1" customWidth="1"/>
    <col min="14076" max="14076" width="12.140625" style="1" customWidth="1"/>
    <col min="14077" max="14077" width="13.7109375" style="1" customWidth="1"/>
    <col min="14078" max="14078" width="8.5703125" style="1" customWidth="1"/>
    <col min="14079" max="14079" width="13" style="1" customWidth="1"/>
    <col min="14080" max="14080" width="9" style="1" customWidth="1"/>
    <col min="14081" max="14081" width="6.7109375" style="1" customWidth="1"/>
    <col min="14082" max="14082" width="9" style="1" customWidth="1"/>
    <col min="14083" max="14083" width="6.85546875" style="1" customWidth="1"/>
    <col min="14084" max="14084" width="10.5703125" style="1" customWidth="1"/>
    <col min="14085" max="14085" width="12.28515625" style="1" customWidth="1"/>
    <col min="14086" max="14086" width="12.5703125" style="1" customWidth="1"/>
    <col min="14087" max="14087" width="1.5703125" style="1" customWidth="1"/>
    <col min="14088" max="14088" width="45.140625" style="1" customWidth="1"/>
    <col min="14089" max="14089" width="13.140625" style="1" customWidth="1"/>
    <col min="14090" max="14090" width="10.28515625" style="1" bestFit="1" customWidth="1"/>
    <col min="14091" max="14091" width="16.28515625" style="1" bestFit="1" customWidth="1"/>
    <col min="14092" max="14092" width="11.28515625" style="1" bestFit="1" customWidth="1"/>
    <col min="14093" max="14325" width="9.140625" style="1"/>
    <col min="14326" max="14326" width="5.140625" style="1" customWidth="1"/>
    <col min="14327" max="14327" width="33.5703125" style="1" customWidth="1"/>
    <col min="14328" max="14328" width="25.85546875" style="1" customWidth="1"/>
    <col min="14329" max="14329" width="0" style="1" hidden="1" customWidth="1"/>
    <col min="14330" max="14330" width="14.85546875" style="1" customWidth="1"/>
    <col min="14331" max="14331" width="13.85546875" style="1" customWidth="1"/>
    <col min="14332" max="14332" width="12.140625" style="1" customWidth="1"/>
    <col min="14333" max="14333" width="13.7109375" style="1" customWidth="1"/>
    <col min="14334" max="14334" width="8.5703125" style="1" customWidth="1"/>
    <col min="14335" max="14335" width="13" style="1" customWidth="1"/>
    <col min="14336" max="14336" width="9" style="1" customWidth="1"/>
    <col min="14337" max="14337" width="6.7109375" style="1" customWidth="1"/>
    <col min="14338" max="14338" width="9" style="1" customWidth="1"/>
    <col min="14339" max="14339" width="6.85546875" style="1" customWidth="1"/>
    <col min="14340" max="14340" width="10.5703125" style="1" customWidth="1"/>
    <col min="14341" max="14341" width="12.28515625" style="1" customWidth="1"/>
    <col min="14342" max="14342" width="12.5703125" style="1" customWidth="1"/>
    <col min="14343" max="14343" width="1.5703125" style="1" customWidth="1"/>
    <col min="14344" max="14344" width="45.140625" style="1" customWidth="1"/>
    <col min="14345" max="14345" width="13.140625" style="1" customWidth="1"/>
    <col min="14346" max="14346" width="10.28515625" style="1" bestFit="1" customWidth="1"/>
    <col min="14347" max="14347" width="16.28515625" style="1" bestFit="1" customWidth="1"/>
    <col min="14348" max="14348" width="11.28515625" style="1" bestFit="1" customWidth="1"/>
    <col min="14349" max="14581" width="9.140625" style="1"/>
    <col min="14582" max="14582" width="5.140625" style="1" customWidth="1"/>
    <col min="14583" max="14583" width="33.5703125" style="1" customWidth="1"/>
    <col min="14584" max="14584" width="25.85546875" style="1" customWidth="1"/>
    <col min="14585" max="14585" width="0" style="1" hidden="1" customWidth="1"/>
    <col min="14586" max="14586" width="14.85546875" style="1" customWidth="1"/>
    <col min="14587" max="14587" width="13.85546875" style="1" customWidth="1"/>
    <col min="14588" max="14588" width="12.140625" style="1" customWidth="1"/>
    <col min="14589" max="14589" width="13.7109375" style="1" customWidth="1"/>
    <col min="14590" max="14590" width="8.5703125" style="1" customWidth="1"/>
    <col min="14591" max="14591" width="13" style="1" customWidth="1"/>
    <col min="14592" max="14592" width="9" style="1" customWidth="1"/>
    <col min="14593" max="14593" width="6.7109375" style="1" customWidth="1"/>
    <col min="14594" max="14594" width="9" style="1" customWidth="1"/>
    <col min="14595" max="14595" width="6.85546875" style="1" customWidth="1"/>
    <col min="14596" max="14596" width="10.5703125" style="1" customWidth="1"/>
    <col min="14597" max="14597" width="12.28515625" style="1" customWidth="1"/>
    <col min="14598" max="14598" width="12.5703125" style="1" customWidth="1"/>
    <col min="14599" max="14599" width="1.5703125" style="1" customWidth="1"/>
    <col min="14600" max="14600" width="45.140625" style="1" customWidth="1"/>
    <col min="14601" max="14601" width="13.140625" style="1" customWidth="1"/>
    <col min="14602" max="14602" width="10.28515625" style="1" bestFit="1" customWidth="1"/>
    <col min="14603" max="14603" width="16.28515625" style="1" bestFit="1" customWidth="1"/>
    <col min="14604" max="14604" width="11.28515625" style="1" bestFit="1" customWidth="1"/>
    <col min="14605" max="14837" width="9.140625" style="1"/>
    <col min="14838" max="14838" width="5.140625" style="1" customWidth="1"/>
    <col min="14839" max="14839" width="33.5703125" style="1" customWidth="1"/>
    <col min="14840" max="14840" width="25.85546875" style="1" customWidth="1"/>
    <col min="14841" max="14841" width="0" style="1" hidden="1" customWidth="1"/>
    <col min="14842" max="14842" width="14.85546875" style="1" customWidth="1"/>
    <col min="14843" max="14843" width="13.85546875" style="1" customWidth="1"/>
    <col min="14844" max="14844" width="12.140625" style="1" customWidth="1"/>
    <col min="14845" max="14845" width="13.7109375" style="1" customWidth="1"/>
    <col min="14846" max="14846" width="8.5703125" style="1" customWidth="1"/>
    <col min="14847" max="14847" width="13" style="1" customWidth="1"/>
    <col min="14848" max="14848" width="9" style="1" customWidth="1"/>
    <col min="14849" max="14849" width="6.7109375" style="1" customWidth="1"/>
    <col min="14850" max="14850" width="9" style="1" customWidth="1"/>
    <col min="14851" max="14851" width="6.85546875" style="1" customWidth="1"/>
    <col min="14852" max="14852" width="10.5703125" style="1" customWidth="1"/>
    <col min="14853" max="14853" width="12.28515625" style="1" customWidth="1"/>
    <col min="14854" max="14854" width="12.5703125" style="1" customWidth="1"/>
    <col min="14855" max="14855" width="1.5703125" style="1" customWidth="1"/>
    <col min="14856" max="14856" width="45.140625" style="1" customWidth="1"/>
    <col min="14857" max="14857" width="13.140625" style="1" customWidth="1"/>
    <col min="14858" max="14858" width="10.28515625" style="1" bestFit="1" customWidth="1"/>
    <col min="14859" max="14859" width="16.28515625" style="1" bestFit="1" customWidth="1"/>
    <col min="14860" max="14860" width="11.28515625" style="1" bestFit="1" customWidth="1"/>
    <col min="14861" max="15093" width="9.140625" style="1"/>
    <col min="15094" max="15094" width="5.140625" style="1" customWidth="1"/>
    <col min="15095" max="15095" width="33.5703125" style="1" customWidth="1"/>
    <col min="15096" max="15096" width="25.85546875" style="1" customWidth="1"/>
    <col min="15097" max="15097" width="0" style="1" hidden="1" customWidth="1"/>
    <col min="15098" max="15098" width="14.85546875" style="1" customWidth="1"/>
    <col min="15099" max="15099" width="13.85546875" style="1" customWidth="1"/>
    <col min="15100" max="15100" width="12.140625" style="1" customWidth="1"/>
    <col min="15101" max="15101" width="13.7109375" style="1" customWidth="1"/>
    <col min="15102" max="15102" width="8.5703125" style="1" customWidth="1"/>
    <col min="15103" max="15103" width="13" style="1" customWidth="1"/>
    <col min="15104" max="15104" width="9" style="1" customWidth="1"/>
    <col min="15105" max="15105" width="6.7109375" style="1" customWidth="1"/>
    <col min="15106" max="15106" width="9" style="1" customWidth="1"/>
    <col min="15107" max="15107" width="6.85546875" style="1" customWidth="1"/>
    <col min="15108" max="15108" width="10.5703125" style="1" customWidth="1"/>
    <col min="15109" max="15109" width="12.28515625" style="1" customWidth="1"/>
    <col min="15110" max="15110" width="12.5703125" style="1" customWidth="1"/>
    <col min="15111" max="15111" width="1.5703125" style="1" customWidth="1"/>
    <col min="15112" max="15112" width="45.140625" style="1" customWidth="1"/>
    <col min="15113" max="15113" width="13.140625" style="1" customWidth="1"/>
    <col min="15114" max="15114" width="10.28515625" style="1" bestFit="1" customWidth="1"/>
    <col min="15115" max="15115" width="16.28515625" style="1" bestFit="1" customWidth="1"/>
    <col min="15116" max="15116" width="11.28515625" style="1" bestFit="1" customWidth="1"/>
    <col min="15117" max="15349" width="9.140625" style="1"/>
    <col min="15350" max="15350" width="5.140625" style="1" customWidth="1"/>
    <col min="15351" max="15351" width="33.5703125" style="1" customWidth="1"/>
    <col min="15352" max="15352" width="25.85546875" style="1" customWidth="1"/>
    <col min="15353" max="15353" width="0" style="1" hidden="1" customWidth="1"/>
    <col min="15354" max="15354" width="14.85546875" style="1" customWidth="1"/>
    <col min="15355" max="15355" width="13.85546875" style="1" customWidth="1"/>
    <col min="15356" max="15356" width="12.140625" style="1" customWidth="1"/>
    <col min="15357" max="15357" width="13.7109375" style="1" customWidth="1"/>
    <col min="15358" max="15358" width="8.5703125" style="1" customWidth="1"/>
    <col min="15359" max="15359" width="13" style="1" customWidth="1"/>
    <col min="15360" max="15360" width="9" style="1" customWidth="1"/>
    <col min="15361" max="15361" width="6.7109375" style="1" customWidth="1"/>
    <col min="15362" max="15362" width="9" style="1" customWidth="1"/>
    <col min="15363" max="15363" width="6.85546875" style="1" customWidth="1"/>
    <col min="15364" max="15364" width="10.5703125" style="1" customWidth="1"/>
    <col min="15365" max="15365" width="12.28515625" style="1" customWidth="1"/>
    <col min="15366" max="15366" width="12.5703125" style="1" customWidth="1"/>
    <col min="15367" max="15367" width="1.5703125" style="1" customWidth="1"/>
    <col min="15368" max="15368" width="45.140625" style="1" customWidth="1"/>
    <col min="15369" max="15369" width="13.140625" style="1" customWidth="1"/>
    <col min="15370" max="15370" width="10.28515625" style="1" bestFit="1" customWidth="1"/>
    <col min="15371" max="15371" width="16.28515625" style="1" bestFit="1" customWidth="1"/>
    <col min="15372" max="15372" width="11.28515625" style="1" bestFit="1" customWidth="1"/>
    <col min="15373" max="15605" width="9.140625" style="1"/>
    <col min="15606" max="15606" width="5.140625" style="1" customWidth="1"/>
    <col min="15607" max="15607" width="33.5703125" style="1" customWidth="1"/>
    <col min="15608" max="15608" width="25.85546875" style="1" customWidth="1"/>
    <col min="15609" max="15609" width="0" style="1" hidden="1" customWidth="1"/>
    <col min="15610" max="15610" width="14.85546875" style="1" customWidth="1"/>
    <col min="15611" max="15611" width="13.85546875" style="1" customWidth="1"/>
    <col min="15612" max="15612" width="12.140625" style="1" customWidth="1"/>
    <col min="15613" max="15613" width="13.7109375" style="1" customWidth="1"/>
    <col min="15614" max="15614" width="8.5703125" style="1" customWidth="1"/>
    <col min="15615" max="15615" width="13" style="1" customWidth="1"/>
    <col min="15616" max="15616" width="9" style="1" customWidth="1"/>
    <col min="15617" max="15617" width="6.7109375" style="1" customWidth="1"/>
    <col min="15618" max="15618" width="9" style="1" customWidth="1"/>
    <col min="15619" max="15619" width="6.85546875" style="1" customWidth="1"/>
    <col min="15620" max="15620" width="10.5703125" style="1" customWidth="1"/>
    <col min="15621" max="15621" width="12.28515625" style="1" customWidth="1"/>
    <col min="15622" max="15622" width="12.5703125" style="1" customWidth="1"/>
    <col min="15623" max="15623" width="1.5703125" style="1" customWidth="1"/>
    <col min="15624" max="15624" width="45.140625" style="1" customWidth="1"/>
    <col min="15625" max="15625" width="13.140625" style="1" customWidth="1"/>
    <col min="15626" max="15626" width="10.28515625" style="1" bestFit="1" customWidth="1"/>
    <col min="15627" max="15627" width="16.28515625" style="1" bestFit="1" customWidth="1"/>
    <col min="15628" max="15628" width="11.28515625" style="1" bestFit="1" customWidth="1"/>
    <col min="15629" max="15861" width="9.140625" style="1"/>
    <col min="15862" max="15862" width="5.140625" style="1" customWidth="1"/>
    <col min="15863" max="15863" width="33.5703125" style="1" customWidth="1"/>
    <col min="15864" max="15864" width="25.85546875" style="1" customWidth="1"/>
    <col min="15865" max="15865" width="0" style="1" hidden="1" customWidth="1"/>
    <col min="15866" max="15866" width="14.85546875" style="1" customWidth="1"/>
    <col min="15867" max="15867" width="13.85546875" style="1" customWidth="1"/>
    <col min="15868" max="15868" width="12.140625" style="1" customWidth="1"/>
    <col min="15869" max="15869" width="13.7109375" style="1" customWidth="1"/>
    <col min="15870" max="15870" width="8.5703125" style="1" customWidth="1"/>
    <col min="15871" max="15871" width="13" style="1" customWidth="1"/>
    <col min="15872" max="15872" width="9" style="1" customWidth="1"/>
    <col min="15873" max="15873" width="6.7109375" style="1" customWidth="1"/>
    <col min="15874" max="15874" width="9" style="1" customWidth="1"/>
    <col min="15875" max="15875" width="6.85546875" style="1" customWidth="1"/>
    <col min="15876" max="15876" width="10.5703125" style="1" customWidth="1"/>
    <col min="15877" max="15877" width="12.28515625" style="1" customWidth="1"/>
    <col min="15878" max="15878" width="12.5703125" style="1" customWidth="1"/>
    <col min="15879" max="15879" width="1.5703125" style="1" customWidth="1"/>
    <col min="15880" max="15880" width="45.140625" style="1" customWidth="1"/>
    <col min="15881" max="15881" width="13.140625" style="1" customWidth="1"/>
    <col min="15882" max="15882" width="10.28515625" style="1" bestFit="1" customWidth="1"/>
    <col min="15883" max="15883" width="16.28515625" style="1" bestFit="1" customWidth="1"/>
    <col min="15884" max="15884" width="11.28515625" style="1" bestFit="1" customWidth="1"/>
    <col min="15885" max="16117" width="9.140625" style="1"/>
    <col min="16118" max="16118" width="5.140625" style="1" customWidth="1"/>
    <col min="16119" max="16119" width="33.5703125" style="1" customWidth="1"/>
    <col min="16120" max="16120" width="25.85546875" style="1" customWidth="1"/>
    <col min="16121" max="16121" width="0" style="1" hidden="1" customWidth="1"/>
    <col min="16122" max="16122" width="14.85546875" style="1" customWidth="1"/>
    <col min="16123" max="16123" width="13.85546875" style="1" customWidth="1"/>
    <col min="16124" max="16124" width="12.140625" style="1" customWidth="1"/>
    <col min="16125" max="16125" width="13.7109375" style="1" customWidth="1"/>
    <col min="16126" max="16126" width="8.5703125" style="1" customWidth="1"/>
    <col min="16127" max="16127" width="13" style="1" customWidth="1"/>
    <col min="16128" max="16128" width="9" style="1" customWidth="1"/>
    <col min="16129" max="16129" width="6.7109375" style="1" customWidth="1"/>
    <col min="16130" max="16130" width="9" style="1" customWidth="1"/>
    <col min="16131" max="16131" width="6.85546875" style="1" customWidth="1"/>
    <col min="16132" max="16132" width="10.5703125" style="1" customWidth="1"/>
    <col min="16133" max="16133" width="12.28515625" style="1" customWidth="1"/>
    <col min="16134" max="16134" width="12.5703125" style="1" customWidth="1"/>
    <col min="16135" max="16135" width="1.5703125" style="1" customWidth="1"/>
    <col min="16136" max="16136" width="45.140625" style="1" customWidth="1"/>
    <col min="16137" max="16137" width="13.140625" style="1" customWidth="1"/>
    <col min="16138" max="16138" width="10.28515625" style="1" bestFit="1" customWidth="1"/>
    <col min="16139" max="16139" width="16.28515625" style="1" bestFit="1" customWidth="1"/>
    <col min="16140" max="16140" width="11.28515625" style="1" bestFit="1" customWidth="1"/>
    <col min="16141" max="16384" width="9.140625" style="1"/>
  </cols>
  <sheetData>
    <row r="1" spans="1:31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1" x14ac:dyDescent="0.25">
      <c r="A2" s="308" t="s">
        <v>100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</row>
    <row r="3" spans="1:31" s="12" customFormat="1" ht="63" x14ac:dyDescent="0.25">
      <c r="A3" s="214" t="s">
        <v>2</v>
      </c>
      <c r="B3" s="215" t="s">
        <v>3</v>
      </c>
      <c r="C3" s="216" t="s">
        <v>4</v>
      </c>
      <c r="D3" s="217" t="s">
        <v>5</v>
      </c>
      <c r="E3" s="218"/>
      <c r="F3" s="218"/>
      <c r="G3" s="218"/>
      <c r="H3" s="218"/>
      <c r="I3" s="218"/>
      <c r="J3" s="219" t="s">
        <v>6</v>
      </c>
      <c r="K3" s="219" t="s">
        <v>7</v>
      </c>
      <c r="L3" s="220"/>
      <c r="M3" s="220"/>
      <c r="N3" s="309" t="s">
        <v>8</v>
      </c>
      <c r="O3" s="309"/>
      <c r="P3" s="309"/>
      <c r="Q3" s="217" t="s">
        <v>9</v>
      </c>
      <c r="R3" s="217" t="s">
        <v>10</v>
      </c>
      <c r="S3" s="217"/>
      <c r="T3" s="217" t="s">
        <v>11</v>
      </c>
      <c r="U3" s="217" t="s">
        <v>1153</v>
      </c>
      <c r="V3" s="221" t="s">
        <v>13</v>
      </c>
      <c r="W3" s="215"/>
      <c r="X3" s="222" t="s">
        <v>14</v>
      </c>
      <c r="Y3" s="222" t="s">
        <v>15</v>
      </c>
      <c r="Z3" s="217" t="s">
        <v>1140</v>
      </c>
      <c r="AA3" s="309" t="s">
        <v>17</v>
      </c>
      <c r="AB3" s="309"/>
      <c r="AC3" s="217" t="s">
        <v>18</v>
      </c>
      <c r="AD3" s="216" t="s">
        <v>19</v>
      </c>
      <c r="AE3" s="216" t="s">
        <v>13</v>
      </c>
    </row>
    <row r="4" spans="1:31" x14ac:dyDescent="0.25">
      <c r="A4" s="13" t="s">
        <v>20</v>
      </c>
      <c r="B4" s="248" t="s">
        <v>1151</v>
      </c>
      <c r="C4" s="49" t="s">
        <v>34</v>
      </c>
      <c r="D4" s="14" t="s">
        <v>28</v>
      </c>
      <c r="E4" s="16">
        <v>7843.4999999999982</v>
      </c>
      <c r="F4" s="17">
        <v>3734.9999999999991</v>
      </c>
      <c r="G4" s="17">
        <v>622.5</v>
      </c>
      <c r="H4" s="25">
        <v>622.5</v>
      </c>
      <c r="I4" s="18"/>
      <c r="J4" s="19">
        <f>SUM(E4:I4)</f>
        <v>12823.499999999996</v>
      </c>
      <c r="K4" s="19" t="s">
        <v>22</v>
      </c>
      <c r="L4" s="20">
        <v>0</v>
      </c>
      <c r="M4" s="20"/>
      <c r="N4" s="20"/>
      <c r="O4" s="20"/>
      <c r="P4" s="17">
        <f>J4/30*N4</f>
        <v>0</v>
      </c>
      <c r="Q4" s="21">
        <f>J4+L4+M4-P4</f>
        <v>12823.499999999996</v>
      </c>
      <c r="R4" s="22">
        <v>31</v>
      </c>
      <c r="S4" s="22"/>
      <c r="T4" s="91" t="s">
        <v>263</v>
      </c>
      <c r="U4" s="45" t="s">
        <v>1152</v>
      </c>
      <c r="V4" s="23"/>
      <c r="W4" s="250" t="s">
        <v>1162</v>
      </c>
      <c r="X4" s="121">
        <v>5670</v>
      </c>
      <c r="Y4" s="30">
        <f>X4*3</f>
        <v>17010</v>
      </c>
      <c r="Z4" s="30">
        <v>12823.499999999996</v>
      </c>
      <c r="AA4" s="22">
        <v>13</v>
      </c>
      <c r="AB4" s="30">
        <f>X4/30*AA4</f>
        <v>2457</v>
      </c>
      <c r="AC4" s="21"/>
      <c r="AD4" s="31">
        <f>AB4+Y4+AC4</f>
        <v>19467</v>
      </c>
      <c r="AE4" s="22"/>
    </row>
    <row r="5" spans="1:31" x14ac:dyDescent="0.25">
      <c r="A5" s="13" t="s">
        <v>26</v>
      </c>
      <c r="B5" s="248" t="s">
        <v>571</v>
      </c>
      <c r="C5" s="91" t="s">
        <v>1154</v>
      </c>
      <c r="D5" s="14"/>
      <c r="E5" s="16"/>
      <c r="F5" s="17"/>
      <c r="G5" s="17"/>
      <c r="H5" s="25"/>
      <c r="I5" s="18"/>
      <c r="J5" s="19"/>
      <c r="K5" s="19"/>
      <c r="L5" s="20"/>
      <c r="M5" s="20"/>
      <c r="N5" s="20"/>
      <c r="O5" s="20"/>
      <c r="P5" s="17"/>
      <c r="Q5" s="21"/>
      <c r="R5" s="22"/>
      <c r="S5" s="22"/>
      <c r="T5" s="91" t="s">
        <v>177</v>
      </c>
      <c r="U5" s="45" t="s">
        <v>1155</v>
      </c>
      <c r="V5" s="23"/>
      <c r="W5" s="250" t="s">
        <v>1110</v>
      </c>
      <c r="X5" s="121">
        <v>9600</v>
      </c>
      <c r="Y5" s="30">
        <v>0</v>
      </c>
      <c r="Z5" s="30"/>
      <c r="AA5" s="22">
        <v>14</v>
      </c>
      <c r="AB5" s="30">
        <f t="shared" ref="AB5:AB7" si="0">X5/30*AA5</f>
        <v>4480</v>
      </c>
      <c r="AC5" s="21"/>
      <c r="AD5" s="31">
        <f t="shared" ref="AD5:AD7" si="1">AB5+Y5+AC5</f>
        <v>4480</v>
      </c>
      <c r="AE5" s="22"/>
    </row>
    <row r="6" spans="1:31" x14ac:dyDescent="0.25">
      <c r="A6" s="13" t="s">
        <v>29</v>
      </c>
      <c r="B6" s="94" t="s">
        <v>1156</v>
      </c>
      <c r="C6" s="91" t="s">
        <v>697</v>
      </c>
      <c r="D6" s="15"/>
      <c r="E6" s="16"/>
      <c r="F6" s="17"/>
      <c r="G6" s="17"/>
      <c r="H6" s="25"/>
      <c r="I6" s="18"/>
      <c r="J6" s="41"/>
      <c r="K6" s="19"/>
      <c r="L6" s="20"/>
      <c r="M6" s="20"/>
      <c r="N6" s="20"/>
      <c r="O6" s="20"/>
      <c r="P6" s="17"/>
      <c r="Q6" s="21"/>
      <c r="R6" s="22"/>
      <c r="S6" s="22"/>
      <c r="T6" s="91" t="s">
        <v>88</v>
      </c>
      <c r="U6" s="45" t="s">
        <v>1157</v>
      </c>
      <c r="V6" s="23"/>
      <c r="W6" s="250" t="s">
        <v>1163</v>
      </c>
      <c r="X6" s="158">
        <v>6710</v>
      </c>
      <c r="Y6" s="30">
        <f>X6*4</f>
        <v>26840</v>
      </c>
      <c r="Z6" s="68"/>
      <c r="AA6" s="247">
        <v>33</v>
      </c>
      <c r="AB6" s="30">
        <f t="shared" si="0"/>
        <v>7381</v>
      </c>
      <c r="AC6" s="22"/>
      <c r="AD6" s="31">
        <f t="shared" si="1"/>
        <v>34221</v>
      </c>
      <c r="AE6" s="22"/>
    </row>
    <row r="7" spans="1:31" x14ac:dyDescent="0.25">
      <c r="A7" s="13" t="s">
        <v>31</v>
      </c>
      <c r="B7" s="94" t="s">
        <v>1158</v>
      </c>
      <c r="C7" s="91" t="s">
        <v>1159</v>
      </c>
      <c r="D7" s="14"/>
      <c r="E7" s="16"/>
      <c r="F7" s="17"/>
      <c r="G7" s="17"/>
      <c r="H7" s="25"/>
      <c r="I7" s="18"/>
      <c r="J7" s="41"/>
      <c r="K7" s="19"/>
      <c r="L7" s="20"/>
      <c r="M7" s="20"/>
      <c r="N7" s="20"/>
      <c r="O7" s="20"/>
      <c r="P7" s="17"/>
      <c r="Q7" s="21"/>
      <c r="R7" s="22"/>
      <c r="S7" s="22"/>
      <c r="T7" s="91" t="s">
        <v>359</v>
      </c>
      <c r="U7" s="45" t="s">
        <v>1160</v>
      </c>
      <c r="V7" s="23"/>
      <c r="W7" s="250" t="s">
        <v>1164</v>
      </c>
      <c r="X7" s="158">
        <v>9150</v>
      </c>
      <c r="Y7" s="30">
        <f>X7*5</f>
        <v>45750</v>
      </c>
      <c r="Z7" s="22"/>
      <c r="AA7" s="247">
        <v>34</v>
      </c>
      <c r="AB7" s="30">
        <f t="shared" si="0"/>
        <v>10370</v>
      </c>
      <c r="AC7" s="30"/>
      <c r="AD7" s="31">
        <f t="shared" si="1"/>
        <v>56120</v>
      </c>
      <c r="AE7" s="22"/>
    </row>
    <row r="8" spans="1:31" x14ac:dyDescent="0.25">
      <c r="A8" s="13" t="s">
        <v>33</v>
      </c>
      <c r="B8" s="242"/>
      <c r="C8" s="86"/>
      <c r="D8" s="14"/>
      <c r="E8" s="16"/>
      <c r="F8" s="17"/>
      <c r="G8" s="17"/>
      <c r="H8" s="25"/>
      <c r="I8" s="18"/>
      <c r="J8" s="19"/>
      <c r="K8" s="19"/>
      <c r="L8" s="20"/>
      <c r="M8" s="20"/>
      <c r="N8" s="20"/>
      <c r="O8" s="20"/>
      <c r="P8" s="17"/>
      <c r="Q8" s="21"/>
      <c r="R8" s="22"/>
      <c r="S8" s="22"/>
      <c r="T8" s="91"/>
      <c r="U8" s="45"/>
      <c r="V8" s="23"/>
      <c r="W8" s="23"/>
      <c r="X8" s="126"/>
      <c r="Y8" s="30"/>
      <c r="Z8" s="22"/>
      <c r="AA8" s="247"/>
      <c r="AB8" s="30"/>
      <c r="AC8" s="30"/>
      <c r="AD8" s="31"/>
      <c r="AE8" s="22"/>
    </row>
    <row r="9" spans="1:31" x14ac:dyDescent="0.25">
      <c r="A9" s="13" t="s">
        <v>35</v>
      </c>
      <c r="B9" s="92"/>
      <c r="C9" s="86"/>
      <c r="D9" s="14"/>
      <c r="E9" s="16"/>
      <c r="F9" s="17"/>
      <c r="G9" s="17"/>
      <c r="H9" s="25"/>
      <c r="I9" s="18"/>
      <c r="J9" s="19"/>
      <c r="K9" s="19"/>
      <c r="L9" s="20"/>
      <c r="M9" s="20"/>
      <c r="N9" s="20"/>
      <c r="O9" s="20"/>
      <c r="P9" s="17"/>
      <c r="Q9" s="21"/>
      <c r="R9" s="22"/>
      <c r="S9" s="22"/>
      <c r="T9" s="86"/>
      <c r="U9" s="45"/>
      <c r="V9" s="23"/>
      <c r="W9" s="23"/>
      <c r="X9" s="121"/>
      <c r="Y9" s="30"/>
      <c r="Z9" s="30"/>
      <c r="AA9" s="247"/>
      <c r="AB9" s="30"/>
      <c r="AC9" s="21"/>
      <c r="AD9" s="31"/>
      <c r="AE9" s="22"/>
    </row>
    <row r="10" spans="1:31" s="12" customFormat="1" x14ac:dyDescent="0.25">
      <c r="A10" s="223"/>
      <c r="B10" s="224" t="s">
        <v>48</v>
      </c>
      <c r="C10" s="225"/>
      <c r="D10" s="225"/>
      <c r="E10" s="225"/>
      <c r="F10" s="226"/>
      <c r="G10" s="226"/>
      <c r="H10" s="226"/>
      <c r="I10" s="225"/>
      <c r="J10" s="227">
        <f>SUM(J4:J7)</f>
        <v>12823.499999999996</v>
      </c>
      <c r="K10" s="228"/>
      <c r="L10" s="226"/>
      <c r="M10" s="229"/>
      <c r="N10" s="226"/>
      <c r="O10" s="226"/>
      <c r="P10" s="229"/>
      <c r="Q10" s="225"/>
      <c r="R10" s="225"/>
      <c r="S10" s="225"/>
      <c r="T10" s="225"/>
      <c r="U10" s="216"/>
      <c r="V10" s="224"/>
      <c r="W10" s="224"/>
      <c r="X10" s="226">
        <f>SUM(X4:X8)</f>
        <v>31130</v>
      </c>
      <c r="Y10" s="226">
        <f>SUM(Y4:Y7)</f>
        <v>89600</v>
      </c>
      <c r="Z10" s="226">
        <f>SUM(Z4:Z6)</f>
        <v>12823.499999999996</v>
      </c>
      <c r="AA10" s="225"/>
      <c r="AB10" s="226">
        <f>SUM(AB4:AB7)</f>
        <v>24688</v>
      </c>
      <c r="AC10" s="226">
        <f>SUM(AC4:AC7)</f>
        <v>0</v>
      </c>
      <c r="AD10" s="226">
        <f>SUM(AD4:AD7)</f>
        <v>114288</v>
      </c>
      <c r="AE10" s="225"/>
    </row>
    <row r="14" spans="1:31" x14ac:dyDescent="0.25">
      <c r="Y14" s="1">
        <f>14*5</f>
        <v>70</v>
      </c>
      <c r="AB14" s="1">
        <f>6710*4</f>
        <v>26840</v>
      </c>
    </row>
    <row r="15" spans="1:31" x14ac:dyDescent="0.25">
      <c r="Y15" s="1">
        <f>14/12*6</f>
        <v>7</v>
      </c>
      <c r="AA15" s="90"/>
      <c r="AB15" s="1">
        <f>X5/30*14</f>
        <v>4480</v>
      </c>
    </row>
    <row r="16" spans="1:31" x14ac:dyDescent="0.25">
      <c r="Y16" s="1">
        <f>SUM(Y14:Y15)</f>
        <v>77</v>
      </c>
      <c r="AA16" s="90"/>
    </row>
    <row r="17" spans="25:28" x14ac:dyDescent="0.25">
      <c r="Y17" s="1">
        <f>Y16-10</f>
        <v>67</v>
      </c>
    </row>
    <row r="18" spans="25:28" x14ac:dyDescent="0.25">
      <c r="Y18" s="1">
        <f>Y17/2</f>
        <v>33.5</v>
      </c>
      <c r="AB18" s="1">
        <f>20/12*5</f>
        <v>8.3333333333333339</v>
      </c>
    </row>
  </sheetData>
  <mergeCells count="4">
    <mergeCell ref="A1:AD1"/>
    <mergeCell ref="A2:AD2"/>
    <mergeCell ref="N3:P3"/>
    <mergeCell ref="AA3:AB3"/>
  </mergeCells>
  <pageMargins left="0.7" right="0.7" top="0.75" bottom="0.75" header="0.3" footer="0.3"/>
  <pageSetup scale="7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9"/>
  <sheetViews>
    <sheetView workbookViewId="0">
      <selection activeCell="AE17" sqref="AE17"/>
    </sheetView>
  </sheetViews>
  <sheetFormatPr defaultRowHeight="15.75" x14ac:dyDescent="0.25"/>
  <cols>
    <col min="1" max="1" width="6.5703125" style="78" customWidth="1"/>
    <col min="2" max="2" width="24.85546875" style="1" customWidth="1"/>
    <col min="3" max="3" width="19" style="1" customWidth="1"/>
    <col min="4" max="4" width="13" style="1" hidden="1" customWidth="1"/>
    <col min="5" max="5" width="13.5703125" style="1" hidden="1" customWidth="1"/>
    <col min="6" max="6" width="11" style="1" hidden="1" customWidth="1"/>
    <col min="7" max="7" width="10.5703125" style="1" hidden="1" customWidth="1"/>
    <col min="8" max="8" width="10" style="1" hidden="1" customWidth="1"/>
    <col min="9" max="9" width="8.5703125" style="1" hidden="1" customWidth="1"/>
    <col min="10" max="10" width="10.7109375" style="79" hidden="1" customWidth="1"/>
    <col min="11" max="11" width="9.42578125" style="80" hidden="1" customWidth="1"/>
    <col min="12" max="12" width="14.5703125" style="81" hidden="1" customWidth="1"/>
    <col min="13" max="13" width="6.7109375" style="82" hidden="1" customWidth="1"/>
    <col min="14" max="14" width="9" style="81" hidden="1" customWidth="1"/>
    <col min="15" max="15" width="6.85546875" style="81" hidden="1" customWidth="1"/>
    <col min="16" max="16" width="10.5703125" style="82" hidden="1" customWidth="1"/>
    <col min="17" max="17" width="12.28515625" style="1" hidden="1" customWidth="1"/>
    <col min="18" max="18" width="12.5703125" style="1" hidden="1" customWidth="1"/>
    <col min="19" max="19" width="0.28515625" style="1" customWidth="1"/>
    <col min="20" max="20" width="12.85546875" style="1" customWidth="1"/>
    <col min="21" max="21" width="9.140625" style="1" customWidth="1"/>
    <col min="22" max="22" width="10.5703125" style="213" hidden="1" customWidth="1"/>
    <col min="23" max="23" width="10" style="1" hidden="1" customWidth="1"/>
    <col min="24" max="24" width="11.42578125" style="1" customWidth="1"/>
    <col min="25" max="25" width="10.28515625" style="1" customWidth="1"/>
    <col min="26" max="26" width="12.7109375" style="1" hidden="1" customWidth="1"/>
    <col min="27" max="27" width="9" style="1" customWidth="1"/>
    <col min="28" max="28" width="9.5703125" style="1" customWidth="1"/>
    <col min="29" max="29" width="10.7109375" style="1" customWidth="1"/>
    <col min="30" max="30" width="13" style="1" customWidth="1"/>
    <col min="31" max="31" width="9.140625" style="1" customWidth="1"/>
    <col min="32" max="245" width="9.140625" style="1"/>
    <col min="246" max="246" width="5.140625" style="1" customWidth="1"/>
    <col min="247" max="247" width="33.5703125" style="1" customWidth="1"/>
    <col min="248" max="248" width="25.85546875" style="1" customWidth="1"/>
    <col min="249" max="249" width="0" style="1" hidden="1" customWidth="1"/>
    <col min="250" max="250" width="14.85546875" style="1" customWidth="1"/>
    <col min="251" max="251" width="13.85546875" style="1" customWidth="1"/>
    <col min="252" max="252" width="12.140625" style="1" customWidth="1"/>
    <col min="253" max="253" width="13.7109375" style="1" customWidth="1"/>
    <col min="254" max="254" width="8.5703125" style="1" customWidth="1"/>
    <col min="255" max="255" width="13" style="1" customWidth="1"/>
    <col min="256" max="256" width="9" style="1" customWidth="1"/>
    <col min="257" max="257" width="6.7109375" style="1" customWidth="1"/>
    <col min="258" max="258" width="9" style="1" customWidth="1"/>
    <col min="259" max="259" width="6.85546875" style="1" customWidth="1"/>
    <col min="260" max="260" width="10.5703125" style="1" customWidth="1"/>
    <col min="261" max="261" width="12.28515625" style="1" customWidth="1"/>
    <col min="262" max="262" width="12.5703125" style="1" customWidth="1"/>
    <col min="263" max="263" width="1.5703125" style="1" customWidth="1"/>
    <col min="264" max="264" width="45.140625" style="1" customWidth="1"/>
    <col min="265" max="265" width="13.140625" style="1" customWidth="1"/>
    <col min="266" max="266" width="10.28515625" style="1" bestFit="1" customWidth="1"/>
    <col min="267" max="267" width="16.28515625" style="1" bestFit="1" customWidth="1"/>
    <col min="268" max="268" width="11.28515625" style="1" bestFit="1" customWidth="1"/>
    <col min="269" max="501" width="9.140625" style="1"/>
    <col min="502" max="502" width="5.140625" style="1" customWidth="1"/>
    <col min="503" max="503" width="33.5703125" style="1" customWidth="1"/>
    <col min="504" max="504" width="25.85546875" style="1" customWidth="1"/>
    <col min="505" max="505" width="0" style="1" hidden="1" customWidth="1"/>
    <col min="506" max="506" width="14.85546875" style="1" customWidth="1"/>
    <col min="507" max="507" width="13.85546875" style="1" customWidth="1"/>
    <col min="508" max="508" width="12.140625" style="1" customWidth="1"/>
    <col min="509" max="509" width="13.7109375" style="1" customWidth="1"/>
    <col min="510" max="510" width="8.5703125" style="1" customWidth="1"/>
    <col min="511" max="511" width="13" style="1" customWidth="1"/>
    <col min="512" max="512" width="9" style="1" customWidth="1"/>
    <col min="513" max="513" width="6.7109375" style="1" customWidth="1"/>
    <col min="514" max="514" width="9" style="1" customWidth="1"/>
    <col min="515" max="515" width="6.85546875" style="1" customWidth="1"/>
    <col min="516" max="516" width="10.5703125" style="1" customWidth="1"/>
    <col min="517" max="517" width="12.28515625" style="1" customWidth="1"/>
    <col min="518" max="518" width="12.5703125" style="1" customWidth="1"/>
    <col min="519" max="519" width="1.5703125" style="1" customWidth="1"/>
    <col min="520" max="520" width="45.140625" style="1" customWidth="1"/>
    <col min="521" max="521" width="13.140625" style="1" customWidth="1"/>
    <col min="522" max="522" width="10.28515625" style="1" bestFit="1" customWidth="1"/>
    <col min="523" max="523" width="16.28515625" style="1" bestFit="1" customWidth="1"/>
    <col min="524" max="524" width="11.28515625" style="1" bestFit="1" customWidth="1"/>
    <col min="525" max="757" width="9.140625" style="1"/>
    <col min="758" max="758" width="5.140625" style="1" customWidth="1"/>
    <col min="759" max="759" width="33.5703125" style="1" customWidth="1"/>
    <col min="760" max="760" width="25.85546875" style="1" customWidth="1"/>
    <col min="761" max="761" width="0" style="1" hidden="1" customWidth="1"/>
    <col min="762" max="762" width="14.85546875" style="1" customWidth="1"/>
    <col min="763" max="763" width="13.85546875" style="1" customWidth="1"/>
    <col min="764" max="764" width="12.140625" style="1" customWidth="1"/>
    <col min="765" max="765" width="13.7109375" style="1" customWidth="1"/>
    <col min="766" max="766" width="8.5703125" style="1" customWidth="1"/>
    <col min="767" max="767" width="13" style="1" customWidth="1"/>
    <col min="768" max="768" width="9" style="1" customWidth="1"/>
    <col min="769" max="769" width="6.7109375" style="1" customWidth="1"/>
    <col min="770" max="770" width="9" style="1" customWidth="1"/>
    <col min="771" max="771" width="6.85546875" style="1" customWidth="1"/>
    <col min="772" max="772" width="10.5703125" style="1" customWidth="1"/>
    <col min="773" max="773" width="12.28515625" style="1" customWidth="1"/>
    <col min="774" max="774" width="12.5703125" style="1" customWidth="1"/>
    <col min="775" max="775" width="1.5703125" style="1" customWidth="1"/>
    <col min="776" max="776" width="45.140625" style="1" customWidth="1"/>
    <col min="777" max="777" width="13.140625" style="1" customWidth="1"/>
    <col min="778" max="778" width="10.28515625" style="1" bestFit="1" customWidth="1"/>
    <col min="779" max="779" width="16.28515625" style="1" bestFit="1" customWidth="1"/>
    <col min="780" max="780" width="11.28515625" style="1" bestFit="1" customWidth="1"/>
    <col min="781" max="1013" width="9.140625" style="1"/>
    <col min="1014" max="1014" width="5.140625" style="1" customWidth="1"/>
    <col min="1015" max="1015" width="33.5703125" style="1" customWidth="1"/>
    <col min="1016" max="1016" width="25.85546875" style="1" customWidth="1"/>
    <col min="1017" max="1017" width="0" style="1" hidden="1" customWidth="1"/>
    <col min="1018" max="1018" width="14.85546875" style="1" customWidth="1"/>
    <col min="1019" max="1019" width="13.85546875" style="1" customWidth="1"/>
    <col min="1020" max="1020" width="12.140625" style="1" customWidth="1"/>
    <col min="1021" max="1021" width="13.7109375" style="1" customWidth="1"/>
    <col min="1022" max="1022" width="8.5703125" style="1" customWidth="1"/>
    <col min="1023" max="1023" width="13" style="1" customWidth="1"/>
    <col min="1024" max="1024" width="9" style="1" customWidth="1"/>
    <col min="1025" max="1025" width="6.7109375" style="1" customWidth="1"/>
    <col min="1026" max="1026" width="9" style="1" customWidth="1"/>
    <col min="1027" max="1027" width="6.85546875" style="1" customWidth="1"/>
    <col min="1028" max="1028" width="10.5703125" style="1" customWidth="1"/>
    <col min="1029" max="1029" width="12.28515625" style="1" customWidth="1"/>
    <col min="1030" max="1030" width="12.5703125" style="1" customWidth="1"/>
    <col min="1031" max="1031" width="1.5703125" style="1" customWidth="1"/>
    <col min="1032" max="1032" width="45.140625" style="1" customWidth="1"/>
    <col min="1033" max="1033" width="13.140625" style="1" customWidth="1"/>
    <col min="1034" max="1034" width="10.28515625" style="1" bestFit="1" customWidth="1"/>
    <col min="1035" max="1035" width="16.28515625" style="1" bestFit="1" customWidth="1"/>
    <col min="1036" max="1036" width="11.28515625" style="1" bestFit="1" customWidth="1"/>
    <col min="1037" max="1269" width="9.140625" style="1"/>
    <col min="1270" max="1270" width="5.140625" style="1" customWidth="1"/>
    <col min="1271" max="1271" width="33.5703125" style="1" customWidth="1"/>
    <col min="1272" max="1272" width="25.85546875" style="1" customWidth="1"/>
    <col min="1273" max="1273" width="0" style="1" hidden="1" customWidth="1"/>
    <col min="1274" max="1274" width="14.85546875" style="1" customWidth="1"/>
    <col min="1275" max="1275" width="13.85546875" style="1" customWidth="1"/>
    <col min="1276" max="1276" width="12.140625" style="1" customWidth="1"/>
    <col min="1277" max="1277" width="13.7109375" style="1" customWidth="1"/>
    <col min="1278" max="1278" width="8.5703125" style="1" customWidth="1"/>
    <col min="1279" max="1279" width="13" style="1" customWidth="1"/>
    <col min="1280" max="1280" width="9" style="1" customWidth="1"/>
    <col min="1281" max="1281" width="6.7109375" style="1" customWidth="1"/>
    <col min="1282" max="1282" width="9" style="1" customWidth="1"/>
    <col min="1283" max="1283" width="6.85546875" style="1" customWidth="1"/>
    <col min="1284" max="1284" width="10.5703125" style="1" customWidth="1"/>
    <col min="1285" max="1285" width="12.28515625" style="1" customWidth="1"/>
    <col min="1286" max="1286" width="12.5703125" style="1" customWidth="1"/>
    <col min="1287" max="1287" width="1.5703125" style="1" customWidth="1"/>
    <col min="1288" max="1288" width="45.140625" style="1" customWidth="1"/>
    <col min="1289" max="1289" width="13.140625" style="1" customWidth="1"/>
    <col min="1290" max="1290" width="10.28515625" style="1" bestFit="1" customWidth="1"/>
    <col min="1291" max="1291" width="16.28515625" style="1" bestFit="1" customWidth="1"/>
    <col min="1292" max="1292" width="11.28515625" style="1" bestFit="1" customWidth="1"/>
    <col min="1293" max="1525" width="9.140625" style="1"/>
    <col min="1526" max="1526" width="5.140625" style="1" customWidth="1"/>
    <col min="1527" max="1527" width="33.5703125" style="1" customWidth="1"/>
    <col min="1528" max="1528" width="25.85546875" style="1" customWidth="1"/>
    <col min="1529" max="1529" width="0" style="1" hidden="1" customWidth="1"/>
    <col min="1530" max="1530" width="14.85546875" style="1" customWidth="1"/>
    <col min="1531" max="1531" width="13.85546875" style="1" customWidth="1"/>
    <col min="1532" max="1532" width="12.140625" style="1" customWidth="1"/>
    <col min="1533" max="1533" width="13.7109375" style="1" customWidth="1"/>
    <col min="1534" max="1534" width="8.5703125" style="1" customWidth="1"/>
    <col min="1535" max="1535" width="13" style="1" customWidth="1"/>
    <col min="1536" max="1536" width="9" style="1" customWidth="1"/>
    <col min="1537" max="1537" width="6.7109375" style="1" customWidth="1"/>
    <col min="1538" max="1538" width="9" style="1" customWidth="1"/>
    <col min="1539" max="1539" width="6.85546875" style="1" customWidth="1"/>
    <col min="1540" max="1540" width="10.5703125" style="1" customWidth="1"/>
    <col min="1541" max="1541" width="12.28515625" style="1" customWidth="1"/>
    <col min="1542" max="1542" width="12.5703125" style="1" customWidth="1"/>
    <col min="1543" max="1543" width="1.5703125" style="1" customWidth="1"/>
    <col min="1544" max="1544" width="45.140625" style="1" customWidth="1"/>
    <col min="1545" max="1545" width="13.140625" style="1" customWidth="1"/>
    <col min="1546" max="1546" width="10.28515625" style="1" bestFit="1" customWidth="1"/>
    <col min="1547" max="1547" width="16.28515625" style="1" bestFit="1" customWidth="1"/>
    <col min="1548" max="1548" width="11.28515625" style="1" bestFit="1" customWidth="1"/>
    <col min="1549" max="1781" width="9.140625" style="1"/>
    <col min="1782" max="1782" width="5.140625" style="1" customWidth="1"/>
    <col min="1783" max="1783" width="33.5703125" style="1" customWidth="1"/>
    <col min="1784" max="1784" width="25.85546875" style="1" customWidth="1"/>
    <col min="1785" max="1785" width="0" style="1" hidden="1" customWidth="1"/>
    <col min="1786" max="1786" width="14.85546875" style="1" customWidth="1"/>
    <col min="1787" max="1787" width="13.85546875" style="1" customWidth="1"/>
    <col min="1788" max="1788" width="12.140625" style="1" customWidth="1"/>
    <col min="1789" max="1789" width="13.7109375" style="1" customWidth="1"/>
    <col min="1790" max="1790" width="8.5703125" style="1" customWidth="1"/>
    <col min="1791" max="1791" width="13" style="1" customWidth="1"/>
    <col min="1792" max="1792" width="9" style="1" customWidth="1"/>
    <col min="1793" max="1793" width="6.7109375" style="1" customWidth="1"/>
    <col min="1794" max="1794" width="9" style="1" customWidth="1"/>
    <col min="1795" max="1795" width="6.85546875" style="1" customWidth="1"/>
    <col min="1796" max="1796" width="10.5703125" style="1" customWidth="1"/>
    <col min="1797" max="1797" width="12.28515625" style="1" customWidth="1"/>
    <col min="1798" max="1798" width="12.5703125" style="1" customWidth="1"/>
    <col min="1799" max="1799" width="1.5703125" style="1" customWidth="1"/>
    <col min="1800" max="1800" width="45.140625" style="1" customWidth="1"/>
    <col min="1801" max="1801" width="13.140625" style="1" customWidth="1"/>
    <col min="1802" max="1802" width="10.28515625" style="1" bestFit="1" customWidth="1"/>
    <col min="1803" max="1803" width="16.28515625" style="1" bestFit="1" customWidth="1"/>
    <col min="1804" max="1804" width="11.28515625" style="1" bestFit="1" customWidth="1"/>
    <col min="1805" max="2037" width="9.140625" style="1"/>
    <col min="2038" max="2038" width="5.140625" style="1" customWidth="1"/>
    <col min="2039" max="2039" width="33.5703125" style="1" customWidth="1"/>
    <col min="2040" max="2040" width="25.85546875" style="1" customWidth="1"/>
    <col min="2041" max="2041" width="0" style="1" hidden="1" customWidth="1"/>
    <col min="2042" max="2042" width="14.85546875" style="1" customWidth="1"/>
    <col min="2043" max="2043" width="13.85546875" style="1" customWidth="1"/>
    <col min="2044" max="2044" width="12.140625" style="1" customWidth="1"/>
    <col min="2045" max="2045" width="13.7109375" style="1" customWidth="1"/>
    <col min="2046" max="2046" width="8.5703125" style="1" customWidth="1"/>
    <col min="2047" max="2047" width="13" style="1" customWidth="1"/>
    <col min="2048" max="2048" width="9" style="1" customWidth="1"/>
    <col min="2049" max="2049" width="6.7109375" style="1" customWidth="1"/>
    <col min="2050" max="2050" width="9" style="1" customWidth="1"/>
    <col min="2051" max="2051" width="6.85546875" style="1" customWidth="1"/>
    <col min="2052" max="2052" width="10.5703125" style="1" customWidth="1"/>
    <col min="2053" max="2053" width="12.28515625" style="1" customWidth="1"/>
    <col min="2054" max="2054" width="12.5703125" style="1" customWidth="1"/>
    <col min="2055" max="2055" width="1.5703125" style="1" customWidth="1"/>
    <col min="2056" max="2056" width="45.140625" style="1" customWidth="1"/>
    <col min="2057" max="2057" width="13.140625" style="1" customWidth="1"/>
    <col min="2058" max="2058" width="10.28515625" style="1" bestFit="1" customWidth="1"/>
    <col min="2059" max="2059" width="16.28515625" style="1" bestFit="1" customWidth="1"/>
    <col min="2060" max="2060" width="11.28515625" style="1" bestFit="1" customWidth="1"/>
    <col min="2061" max="2293" width="9.140625" style="1"/>
    <col min="2294" max="2294" width="5.140625" style="1" customWidth="1"/>
    <col min="2295" max="2295" width="33.5703125" style="1" customWidth="1"/>
    <col min="2296" max="2296" width="25.85546875" style="1" customWidth="1"/>
    <col min="2297" max="2297" width="0" style="1" hidden="1" customWidth="1"/>
    <col min="2298" max="2298" width="14.85546875" style="1" customWidth="1"/>
    <col min="2299" max="2299" width="13.85546875" style="1" customWidth="1"/>
    <col min="2300" max="2300" width="12.140625" style="1" customWidth="1"/>
    <col min="2301" max="2301" width="13.7109375" style="1" customWidth="1"/>
    <col min="2302" max="2302" width="8.5703125" style="1" customWidth="1"/>
    <col min="2303" max="2303" width="13" style="1" customWidth="1"/>
    <col min="2304" max="2304" width="9" style="1" customWidth="1"/>
    <col min="2305" max="2305" width="6.7109375" style="1" customWidth="1"/>
    <col min="2306" max="2306" width="9" style="1" customWidth="1"/>
    <col min="2307" max="2307" width="6.85546875" style="1" customWidth="1"/>
    <col min="2308" max="2308" width="10.5703125" style="1" customWidth="1"/>
    <col min="2309" max="2309" width="12.28515625" style="1" customWidth="1"/>
    <col min="2310" max="2310" width="12.5703125" style="1" customWidth="1"/>
    <col min="2311" max="2311" width="1.5703125" style="1" customWidth="1"/>
    <col min="2312" max="2312" width="45.140625" style="1" customWidth="1"/>
    <col min="2313" max="2313" width="13.140625" style="1" customWidth="1"/>
    <col min="2314" max="2314" width="10.28515625" style="1" bestFit="1" customWidth="1"/>
    <col min="2315" max="2315" width="16.28515625" style="1" bestFit="1" customWidth="1"/>
    <col min="2316" max="2316" width="11.28515625" style="1" bestFit="1" customWidth="1"/>
    <col min="2317" max="2549" width="9.140625" style="1"/>
    <col min="2550" max="2550" width="5.140625" style="1" customWidth="1"/>
    <col min="2551" max="2551" width="33.5703125" style="1" customWidth="1"/>
    <col min="2552" max="2552" width="25.85546875" style="1" customWidth="1"/>
    <col min="2553" max="2553" width="0" style="1" hidden="1" customWidth="1"/>
    <col min="2554" max="2554" width="14.85546875" style="1" customWidth="1"/>
    <col min="2555" max="2555" width="13.85546875" style="1" customWidth="1"/>
    <col min="2556" max="2556" width="12.140625" style="1" customWidth="1"/>
    <col min="2557" max="2557" width="13.7109375" style="1" customWidth="1"/>
    <col min="2558" max="2558" width="8.5703125" style="1" customWidth="1"/>
    <col min="2559" max="2559" width="13" style="1" customWidth="1"/>
    <col min="2560" max="2560" width="9" style="1" customWidth="1"/>
    <col min="2561" max="2561" width="6.7109375" style="1" customWidth="1"/>
    <col min="2562" max="2562" width="9" style="1" customWidth="1"/>
    <col min="2563" max="2563" width="6.85546875" style="1" customWidth="1"/>
    <col min="2564" max="2564" width="10.5703125" style="1" customWidth="1"/>
    <col min="2565" max="2565" width="12.28515625" style="1" customWidth="1"/>
    <col min="2566" max="2566" width="12.5703125" style="1" customWidth="1"/>
    <col min="2567" max="2567" width="1.5703125" style="1" customWidth="1"/>
    <col min="2568" max="2568" width="45.140625" style="1" customWidth="1"/>
    <col min="2569" max="2569" width="13.140625" style="1" customWidth="1"/>
    <col min="2570" max="2570" width="10.28515625" style="1" bestFit="1" customWidth="1"/>
    <col min="2571" max="2571" width="16.28515625" style="1" bestFit="1" customWidth="1"/>
    <col min="2572" max="2572" width="11.28515625" style="1" bestFit="1" customWidth="1"/>
    <col min="2573" max="2805" width="9.140625" style="1"/>
    <col min="2806" max="2806" width="5.140625" style="1" customWidth="1"/>
    <col min="2807" max="2807" width="33.5703125" style="1" customWidth="1"/>
    <col min="2808" max="2808" width="25.85546875" style="1" customWidth="1"/>
    <col min="2809" max="2809" width="0" style="1" hidden="1" customWidth="1"/>
    <col min="2810" max="2810" width="14.85546875" style="1" customWidth="1"/>
    <col min="2811" max="2811" width="13.85546875" style="1" customWidth="1"/>
    <col min="2812" max="2812" width="12.140625" style="1" customWidth="1"/>
    <col min="2813" max="2813" width="13.7109375" style="1" customWidth="1"/>
    <col min="2814" max="2814" width="8.5703125" style="1" customWidth="1"/>
    <col min="2815" max="2815" width="13" style="1" customWidth="1"/>
    <col min="2816" max="2816" width="9" style="1" customWidth="1"/>
    <col min="2817" max="2817" width="6.7109375" style="1" customWidth="1"/>
    <col min="2818" max="2818" width="9" style="1" customWidth="1"/>
    <col min="2819" max="2819" width="6.85546875" style="1" customWidth="1"/>
    <col min="2820" max="2820" width="10.5703125" style="1" customWidth="1"/>
    <col min="2821" max="2821" width="12.28515625" style="1" customWidth="1"/>
    <col min="2822" max="2822" width="12.5703125" style="1" customWidth="1"/>
    <col min="2823" max="2823" width="1.5703125" style="1" customWidth="1"/>
    <col min="2824" max="2824" width="45.140625" style="1" customWidth="1"/>
    <col min="2825" max="2825" width="13.140625" style="1" customWidth="1"/>
    <col min="2826" max="2826" width="10.28515625" style="1" bestFit="1" customWidth="1"/>
    <col min="2827" max="2827" width="16.28515625" style="1" bestFit="1" customWidth="1"/>
    <col min="2828" max="2828" width="11.28515625" style="1" bestFit="1" customWidth="1"/>
    <col min="2829" max="3061" width="9.140625" style="1"/>
    <col min="3062" max="3062" width="5.140625" style="1" customWidth="1"/>
    <col min="3063" max="3063" width="33.5703125" style="1" customWidth="1"/>
    <col min="3064" max="3064" width="25.85546875" style="1" customWidth="1"/>
    <col min="3065" max="3065" width="0" style="1" hidden="1" customWidth="1"/>
    <col min="3066" max="3066" width="14.85546875" style="1" customWidth="1"/>
    <col min="3067" max="3067" width="13.85546875" style="1" customWidth="1"/>
    <col min="3068" max="3068" width="12.140625" style="1" customWidth="1"/>
    <col min="3069" max="3069" width="13.7109375" style="1" customWidth="1"/>
    <col min="3070" max="3070" width="8.5703125" style="1" customWidth="1"/>
    <col min="3071" max="3071" width="13" style="1" customWidth="1"/>
    <col min="3072" max="3072" width="9" style="1" customWidth="1"/>
    <col min="3073" max="3073" width="6.7109375" style="1" customWidth="1"/>
    <col min="3074" max="3074" width="9" style="1" customWidth="1"/>
    <col min="3075" max="3075" width="6.85546875" style="1" customWidth="1"/>
    <col min="3076" max="3076" width="10.5703125" style="1" customWidth="1"/>
    <col min="3077" max="3077" width="12.28515625" style="1" customWidth="1"/>
    <col min="3078" max="3078" width="12.5703125" style="1" customWidth="1"/>
    <col min="3079" max="3079" width="1.5703125" style="1" customWidth="1"/>
    <col min="3080" max="3080" width="45.140625" style="1" customWidth="1"/>
    <col min="3081" max="3081" width="13.140625" style="1" customWidth="1"/>
    <col min="3082" max="3082" width="10.28515625" style="1" bestFit="1" customWidth="1"/>
    <col min="3083" max="3083" width="16.28515625" style="1" bestFit="1" customWidth="1"/>
    <col min="3084" max="3084" width="11.28515625" style="1" bestFit="1" customWidth="1"/>
    <col min="3085" max="3317" width="9.140625" style="1"/>
    <col min="3318" max="3318" width="5.140625" style="1" customWidth="1"/>
    <col min="3319" max="3319" width="33.5703125" style="1" customWidth="1"/>
    <col min="3320" max="3320" width="25.85546875" style="1" customWidth="1"/>
    <col min="3321" max="3321" width="0" style="1" hidden="1" customWidth="1"/>
    <col min="3322" max="3322" width="14.85546875" style="1" customWidth="1"/>
    <col min="3323" max="3323" width="13.85546875" style="1" customWidth="1"/>
    <col min="3324" max="3324" width="12.140625" style="1" customWidth="1"/>
    <col min="3325" max="3325" width="13.7109375" style="1" customWidth="1"/>
    <col min="3326" max="3326" width="8.5703125" style="1" customWidth="1"/>
    <col min="3327" max="3327" width="13" style="1" customWidth="1"/>
    <col min="3328" max="3328" width="9" style="1" customWidth="1"/>
    <col min="3329" max="3329" width="6.7109375" style="1" customWidth="1"/>
    <col min="3330" max="3330" width="9" style="1" customWidth="1"/>
    <col min="3331" max="3331" width="6.85546875" style="1" customWidth="1"/>
    <col min="3332" max="3332" width="10.5703125" style="1" customWidth="1"/>
    <col min="3333" max="3333" width="12.28515625" style="1" customWidth="1"/>
    <col min="3334" max="3334" width="12.5703125" style="1" customWidth="1"/>
    <col min="3335" max="3335" width="1.5703125" style="1" customWidth="1"/>
    <col min="3336" max="3336" width="45.140625" style="1" customWidth="1"/>
    <col min="3337" max="3337" width="13.140625" style="1" customWidth="1"/>
    <col min="3338" max="3338" width="10.28515625" style="1" bestFit="1" customWidth="1"/>
    <col min="3339" max="3339" width="16.28515625" style="1" bestFit="1" customWidth="1"/>
    <col min="3340" max="3340" width="11.28515625" style="1" bestFit="1" customWidth="1"/>
    <col min="3341" max="3573" width="9.140625" style="1"/>
    <col min="3574" max="3574" width="5.140625" style="1" customWidth="1"/>
    <col min="3575" max="3575" width="33.5703125" style="1" customWidth="1"/>
    <col min="3576" max="3576" width="25.85546875" style="1" customWidth="1"/>
    <col min="3577" max="3577" width="0" style="1" hidden="1" customWidth="1"/>
    <col min="3578" max="3578" width="14.85546875" style="1" customWidth="1"/>
    <col min="3579" max="3579" width="13.85546875" style="1" customWidth="1"/>
    <col min="3580" max="3580" width="12.140625" style="1" customWidth="1"/>
    <col min="3581" max="3581" width="13.7109375" style="1" customWidth="1"/>
    <col min="3582" max="3582" width="8.5703125" style="1" customWidth="1"/>
    <col min="3583" max="3583" width="13" style="1" customWidth="1"/>
    <col min="3584" max="3584" width="9" style="1" customWidth="1"/>
    <col min="3585" max="3585" width="6.7109375" style="1" customWidth="1"/>
    <col min="3586" max="3586" width="9" style="1" customWidth="1"/>
    <col min="3587" max="3587" width="6.85546875" style="1" customWidth="1"/>
    <col min="3588" max="3588" width="10.5703125" style="1" customWidth="1"/>
    <col min="3589" max="3589" width="12.28515625" style="1" customWidth="1"/>
    <col min="3590" max="3590" width="12.5703125" style="1" customWidth="1"/>
    <col min="3591" max="3591" width="1.5703125" style="1" customWidth="1"/>
    <col min="3592" max="3592" width="45.140625" style="1" customWidth="1"/>
    <col min="3593" max="3593" width="13.140625" style="1" customWidth="1"/>
    <col min="3594" max="3594" width="10.28515625" style="1" bestFit="1" customWidth="1"/>
    <col min="3595" max="3595" width="16.28515625" style="1" bestFit="1" customWidth="1"/>
    <col min="3596" max="3596" width="11.28515625" style="1" bestFit="1" customWidth="1"/>
    <col min="3597" max="3829" width="9.140625" style="1"/>
    <col min="3830" max="3830" width="5.140625" style="1" customWidth="1"/>
    <col min="3831" max="3831" width="33.5703125" style="1" customWidth="1"/>
    <col min="3832" max="3832" width="25.85546875" style="1" customWidth="1"/>
    <col min="3833" max="3833" width="0" style="1" hidden="1" customWidth="1"/>
    <col min="3834" max="3834" width="14.85546875" style="1" customWidth="1"/>
    <col min="3835" max="3835" width="13.85546875" style="1" customWidth="1"/>
    <col min="3836" max="3836" width="12.140625" style="1" customWidth="1"/>
    <col min="3837" max="3837" width="13.7109375" style="1" customWidth="1"/>
    <col min="3838" max="3838" width="8.5703125" style="1" customWidth="1"/>
    <col min="3839" max="3839" width="13" style="1" customWidth="1"/>
    <col min="3840" max="3840" width="9" style="1" customWidth="1"/>
    <col min="3841" max="3841" width="6.7109375" style="1" customWidth="1"/>
    <col min="3842" max="3842" width="9" style="1" customWidth="1"/>
    <col min="3843" max="3843" width="6.85546875" style="1" customWidth="1"/>
    <col min="3844" max="3844" width="10.5703125" style="1" customWidth="1"/>
    <col min="3845" max="3845" width="12.28515625" style="1" customWidth="1"/>
    <col min="3846" max="3846" width="12.5703125" style="1" customWidth="1"/>
    <col min="3847" max="3847" width="1.5703125" style="1" customWidth="1"/>
    <col min="3848" max="3848" width="45.140625" style="1" customWidth="1"/>
    <col min="3849" max="3849" width="13.140625" style="1" customWidth="1"/>
    <col min="3850" max="3850" width="10.28515625" style="1" bestFit="1" customWidth="1"/>
    <col min="3851" max="3851" width="16.28515625" style="1" bestFit="1" customWidth="1"/>
    <col min="3852" max="3852" width="11.28515625" style="1" bestFit="1" customWidth="1"/>
    <col min="3853" max="4085" width="9.140625" style="1"/>
    <col min="4086" max="4086" width="5.140625" style="1" customWidth="1"/>
    <col min="4087" max="4087" width="33.5703125" style="1" customWidth="1"/>
    <col min="4088" max="4088" width="25.85546875" style="1" customWidth="1"/>
    <col min="4089" max="4089" width="0" style="1" hidden="1" customWidth="1"/>
    <col min="4090" max="4090" width="14.85546875" style="1" customWidth="1"/>
    <col min="4091" max="4091" width="13.85546875" style="1" customWidth="1"/>
    <col min="4092" max="4092" width="12.140625" style="1" customWidth="1"/>
    <col min="4093" max="4093" width="13.7109375" style="1" customWidth="1"/>
    <col min="4094" max="4094" width="8.5703125" style="1" customWidth="1"/>
    <col min="4095" max="4095" width="13" style="1" customWidth="1"/>
    <col min="4096" max="4096" width="9" style="1" customWidth="1"/>
    <col min="4097" max="4097" width="6.7109375" style="1" customWidth="1"/>
    <col min="4098" max="4098" width="9" style="1" customWidth="1"/>
    <col min="4099" max="4099" width="6.85546875" style="1" customWidth="1"/>
    <col min="4100" max="4100" width="10.5703125" style="1" customWidth="1"/>
    <col min="4101" max="4101" width="12.28515625" style="1" customWidth="1"/>
    <col min="4102" max="4102" width="12.5703125" style="1" customWidth="1"/>
    <col min="4103" max="4103" width="1.5703125" style="1" customWidth="1"/>
    <col min="4104" max="4104" width="45.140625" style="1" customWidth="1"/>
    <col min="4105" max="4105" width="13.140625" style="1" customWidth="1"/>
    <col min="4106" max="4106" width="10.28515625" style="1" bestFit="1" customWidth="1"/>
    <col min="4107" max="4107" width="16.28515625" style="1" bestFit="1" customWidth="1"/>
    <col min="4108" max="4108" width="11.28515625" style="1" bestFit="1" customWidth="1"/>
    <col min="4109" max="4341" width="9.140625" style="1"/>
    <col min="4342" max="4342" width="5.140625" style="1" customWidth="1"/>
    <col min="4343" max="4343" width="33.5703125" style="1" customWidth="1"/>
    <col min="4344" max="4344" width="25.85546875" style="1" customWidth="1"/>
    <col min="4345" max="4345" width="0" style="1" hidden="1" customWidth="1"/>
    <col min="4346" max="4346" width="14.85546875" style="1" customWidth="1"/>
    <col min="4347" max="4347" width="13.85546875" style="1" customWidth="1"/>
    <col min="4348" max="4348" width="12.140625" style="1" customWidth="1"/>
    <col min="4349" max="4349" width="13.7109375" style="1" customWidth="1"/>
    <col min="4350" max="4350" width="8.5703125" style="1" customWidth="1"/>
    <col min="4351" max="4351" width="13" style="1" customWidth="1"/>
    <col min="4352" max="4352" width="9" style="1" customWidth="1"/>
    <col min="4353" max="4353" width="6.7109375" style="1" customWidth="1"/>
    <col min="4354" max="4354" width="9" style="1" customWidth="1"/>
    <col min="4355" max="4355" width="6.85546875" style="1" customWidth="1"/>
    <col min="4356" max="4356" width="10.5703125" style="1" customWidth="1"/>
    <col min="4357" max="4357" width="12.28515625" style="1" customWidth="1"/>
    <col min="4358" max="4358" width="12.5703125" style="1" customWidth="1"/>
    <col min="4359" max="4359" width="1.5703125" style="1" customWidth="1"/>
    <col min="4360" max="4360" width="45.140625" style="1" customWidth="1"/>
    <col min="4361" max="4361" width="13.140625" style="1" customWidth="1"/>
    <col min="4362" max="4362" width="10.28515625" style="1" bestFit="1" customWidth="1"/>
    <col min="4363" max="4363" width="16.28515625" style="1" bestFit="1" customWidth="1"/>
    <col min="4364" max="4364" width="11.28515625" style="1" bestFit="1" customWidth="1"/>
    <col min="4365" max="4597" width="9.140625" style="1"/>
    <col min="4598" max="4598" width="5.140625" style="1" customWidth="1"/>
    <col min="4599" max="4599" width="33.5703125" style="1" customWidth="1"/>
    <col min="4600" max="4600" width="25.85546875" style="1" customWidth="1"/>
    <col min="4601" max="4601" width="0" style="1" hidden="1" customWidth="1"/>
    <col min="4602" max="4602" width="14.85546875" style="1" customWidth="1"/>
    <col min="4603" max="4603" width="13.85546875" style="1" customWidth="1"/>
    <col min="4604" max="4604" width="12.140625" style="1" customWidth="1"/>
    <col min="4605" max="4605" width="13.7109375" style="1" customWidth="1"/>
    <col min="4606" max="4606" width="8.5703125" style="1" customWidth="1"/>
    <col min="4607" max="4607" width="13" style="1" customWidth="1"/>
    <col min="4608" max="4608" width="9" style="1" customWidth="1"/>
    <col min="4609" max="4609" width="6.7109375" style="1" customWidth="1"/>
    <col min="4610" max="4610" width="9" style="1" customWidth="1"/>
    <col min="4611" max="4611" width="6.85546875" style="1" customWidth="1"/>
    <col min="4612" max="4612" width="10.5703125" style="1" customWidth="1"/>
    <col min="4613" max="4613" width="12.28515625" style="1" customWidth="1"/>
    <col min="4614" max="4614" width="12.5703125" style="1" customWidth="1"/>
    <col min="4615" max="4615" width="1.5703125" style="1" customWidth="1"/>
    <col min="4616" max="4616" width="45.140625" style="1" customWidth="1"/>
    <col min="4617" max="4617" width="13.140625" style="1" customWidth="1"/>
    <col min="4618" max="4618" width="10.28515625" style="1" bestFit="1" customWidth="1"/>
    <col min="4619" max="4619" width="16.28515625" style="1" bestFit="1" customWidth="1"/>
    <col min="4620" max="4620" width="11.28515625" style="1" bestFit="1" customWidth="1"/>
    <col min="4621" max="4853" width="9.140625" style="1"/>
    <col min="4854" max="4854" width="5.140625" style="1" customWidth="1"/>
    <col min="4855" max="4855" width="33.5703125" style="1" customWidth="1"/>
    <col min="4856" max="4856" width="25.85546875" style="1" customWidth="1"/>
    <col min="4857" max="4857" width="0" style="1" hidden="1" customWidth="1"/>
    <col min="4858" max="4858" width="14.85546875" style="1" customWidth="1"/>
    <col min="4859" max="4859" width="13.85546875" style="1" customWidth="1"/>
    <col min="4860" max="4860" width="12.140625" style="1" customWidth="1"/>
    <col min="4861" max="4861" width="13.7109375" style="1" customWidth="1"/>
    <col min="4862" max="4862" width="8.5703125" style="1" customWidth="1"/>
    <col min="4863" max="4863" width="13" style="1" customWidth="1"/>
    <col min="4864" max="4864" width="9" style="1" customWidth="1"/>
    <col min="4865" max="4865" width="6.7109375" style="1" customWidth="1"/>
    <col min="4866" max="4866" width="9" style="1" customWidth="1"/>
    <col min="4867" max="4867" width="6.85546875" style="1" customWidth="1"/>
    <col min="4868" max="4868" width="10.5703125" style="1" customWidth="1"/>
    <col min="4869" max="4869" width="12.28515625" style="1" customWidth="1"/>
    <col min="4870" max="4870" width="12.5703125" style="1" customWidth="1"/>
    <col min="4871" max="4871" width="1.5703125" style="1" customWidth="1"/>
    <col min="4872" max="4872" width="45.140625" style="1" customWidth="1"/>
    <col min="4873" max="4873" width="13.140625" style="1" customWidth="1"/>
    <col min="4874" max="4874" width="10.28515625" style="1" bestFit="1" customWidth="1"/>
    <col min="4875" max="4875" width="16.28515625" style="1" bestFit="1" customWidth="1"/>
    <col min="4876" max="4876" width="11.28515625" style="1" bestFit="1" customWidth="1"/>
    <col min="4877" max="5109" width="9.140625" style="1"/>
    <col min="5110" max="5110" width="5.140625" style="1" customWidth="1"/>
    <col min="5111" max="5111" width="33.5703125" style="1" customWidth="1"/>
    <col min="5112" max="5112" width="25.85546875" style="1" customWidth="1"/>
    <col min="5113" max="5113" width="0" style="1" hidden="1" customWidth="1"/>
    <col min="5114" max="5114" width="14.85546875" style="1" customWidth="1"/>
    <col min="5115" max="5115" width="13.85546875" style="1" customWidth="1"/>
    <col min="5116" max="5116" width="12.140625" style="1" customWidth="1"/>
    <col min="5117" max="5117" width="13.7109375" style="1" customWidth="1"/>
    <col min="5118" max="5118" width="8.5703125" style="1" customWidth="1"/>
    <col min="5119" max="5119" width="13" style="1" customWidth="1"/>
    <col min="5120" max="5120" width="9" style="1" customWidth="1"/>
    <col min="5121" max="5121" width="6.7109375" style="1" customWidth="1"/>
    <col min="5122" max="5122" width="9" style="1" customWidth="1"/>
    <col min="5123" max="5123" width="6.85546875" style="1" customWidth="1"/>
    <col min="5124" max="5124" width="10.5703125" style="1" customWidth="1"/>
    <col min="5125" max="5125" width="12.28515625" style="1" customWidth="1"/>
    <col min="5126" max="5126" width="12.5703125" style="1" customWidth="1"/>
    <col min="5127" max="5127" width="1.5703125" style="1" customWidth="1"/>
    <col min="5128" max="5128" width="45.140625" style="1" customWidth="1"/>
    <col min="5129" max="5129" width="13.140625" style="1" customWidth="1"/>
    <col min="5130" max="5130" width="10.28515625" style="1" bestFit="1" customWidth="1"/>
    <col min="5131" max="5131" width="16.28515625" style="1" bestFit="1" customWidth="1"/>
    <col min="5132" max="5132" width="11.28515625" style="1" bestFit="1" customWidth="1"/>
    <col min="5133" max="5365" width="9.140625" style="1"/>
    <col min="5366" max="5366" width="5.140625" style="1" customWidth="1"/>
    <col min="5367" max="5367" width="33.5703125" style="1" customWidth="1"/>
    <col min="5368" max="5368" width="25.85546875" style="1" customWidth="1"/>
    <col min="5369" max="5369" width="0" style="1" hidden="1" customWidth="1"/>
    <col min="5370" max="5370" width="14.85546875" style="1" customWidth="1"/>
    <col min="5371" max="5371" width="13.85546875" style="1" customWidth="1"/>
    <col min="5372" max="5372" width="12.140625" style="1" customWidth="1"/>
    <col min="5373" max="5373" width="13.7109375" style="1" customWidth="1"/>
    <col min="5374" max="5374" width="8.5703125" style="1" customWidth="1"/>
    <col min="5375" max="5375" width="13" style="1" customWidth="1"/>
    <col min="5376" max="5376" width="9" style="1" customWidth="1"/>
    <col min="5377" max="5377" width="6.7109375" style="1" customWidth="1"/>
    <col min="5378" max="5378" width="9" style="1" customWidth="1"/>
    <col min="5379" max="5379" width="6.85546875" style="1" customWidth="1"/>
    <col min="5380" max="5380" width="10.5703125" style="1" customWidth="1"/>
    <col min="5381" max="5381" width="12.28515625" style="1" customWidth="1"/>
    <col min="5382" max="5382" width="12.5703125" style="1" customWidth="1"/>
    <col min="5383" max="5383" width="1.5703125" style="1" customWidth="1"/>
    <col min="5384" max="5384" width="45.140625" style="1" customWidth="1"/>
    <col min="5385" max="5385" width="13.140625" style="1" customWidth="1"/>
    <col min="5386" max="5386" width="10.28515625" style="1" bestFit="1" customWidth="1"/>
    <col min="5387" max="5387" width="16.28515625" style="1" bestFit="1" customWidth="1"/>
    <col min="5388" max="5388" width="11.28515625" style="1" bestFit="1" customWidth="1"/>
    <col min="5389" max="5621" width="9.140625" style="1"/>
    <col min="5622" max="5622" width="5.140625" style="1" customWidth="1"/>
    <col min="5623" max="5623" width="33.5703125" style="1" customWidth="1"/>
    <col min="5624" max="5624" width="25.85546875" style="1" customWidth="1"/>
    <col min="5625" max="5625" width="0" style="1" hidden="1" customWidth="1"/>
    <col min="5626" max="5626" width="14.85546875" style="1" customWidth="1"/>
    <col min="5627" max="5627" width="13.85546875" style="1" customWidth="1"/>
    <col min="5628" max="5628" width="12.140625" style="1" customWidth="1"/>
    <col min="5629" max="5629" width="13.7109375" style="1" customWidth="1"/>
    <col min="5630" max="5630" width="8.5703125" style="1" customWidth="1"/>
    <col min="5631" max="5631" width="13" style="1" customWidth="1"/>
    <col min="5632" max="5632" width="9" style="1" customWidth="1"/>
    <col min="5633" max="5633" width="6.7109375" style="1" customWidth="1"/>
    <col min="5634" max="5634" width="9" style="1" customWidth="1"/>
    <col min="5635" max="5635" width="6.85546875" style="1" customWidth="1"/>
    <col min="5636" max="5636" width="10.5703125" style="1" customWidth="1"/>
    <col min="5637" max="5637" width="12.28515625" style="1" customWidth="1"/>
    <col min="5638" max="5638" width="12.5703125" style="1" customWidth="1"/>
    <col min="5639" max="5639" width="1.5703125" style="1" customWidth="1"/>
    <col min="5640" max="5640" width="45.140625" style="1" customWidth="1"/>
    <col min="5641" max="5641" width="13.140625" style="1" customWidth="1"/>
    <col min="5642" max="5642" width="10.28515625" style="1" bestFit="1" customWidth="1"/>
    <col min="5643" max="5643" width="16.28515625" style="1" bestFit="1" customWidth="1"/>
    <col min="5644" max="5644" width="11.28515625" style="1" bestFit="1" customWidth="1"/>
    <col min="5645" max="5877" width="9.140625" style="1"/>
    <col min="5878" max="5878" width="5.140625" style="1" customWidth="1"/>
    <col min="5879" max="5879" width="33.5703125" style="1" customWidth="1"/>
    <col min="5880" max="5880" width="25.85546875" style="1" customWidth="1"/>
    <col min="5881" max="5881" width="0" style="1" hidden="1" customWidth="1"/>
    <col min="5882" max="5882" width="14.85546875" style="1" customWidth="1"/>
    <col min="5883" max="5883" width="13.85546875" style="1" customWidth="1"/>
    <col min="5884" max="5884" width="12.140625" style="1" customWidth="1"/>
    <col min="5885" max="5885" width="13.7109375" style="1" customWidth="1"/>
    <col min="5886" max="5886" width="8.5703125" style="1" customWidth="1"/>
    <col min="5887" max="5887" width="13" style="1" customWidth="1"/>
    <col min="5888" max="5888" width="9" style="1" customWidth="1"/>
    <col min="5889" max="5889" width="6.7109375" style="1" customWidth="1"/>
    <col min="5890" max="5890" width="9" style="1" customWidth="1"/>
    <col min="5891" max="5891" width="6.85546875" style="1" customWidth="1"/>
    <col min="5892" max="5892" width="10.5703125" style="1" customWidth="1"/>
    <col min="5893" max="5893" width="12.28515625" style="1" customWidth="1"/>
    <col min="5894" max="5894" width="12.5703125" style="1" customWidth="1"/>
    <col min="5895" max="5895" width="1.5703125" style="1" customWidth="1"/>
    <col min="5896" max="5896" width="45.140625" style="1" customWidth="1"/>
    <col min="5897" max="5897" width="13.140625" style="1" customWidth="1"/>
    <col min="5898" max="5898" width="10.28515625" style="1" bestFit="1" customWidth="1"/>
    <col min="5899" max="5899" width="16.28515625" style="1" bestFit="1" customWidth="1"/>
    <col min="5900" max="5900" width="11.28515625" style="1" bestFit="1" customWidth="1"/>
    <col min="5901" max="6133" width="9.140625" style="1"/>
    <col min="6134" max="6134" width="5.140625" style="1" customWidth="1"/>
    <col min="6135" max="6135" width="33.5703125" style="1" customWidth="1"/>
    <col min="6136" max="6136" width="25.85546875" style="1" customWidth="1"/>
    <col min="6137" max="6137" width="0" style="1" hidden="1" customWidth="1"/>
    <col min="6138" max="6138" width="14.85546875" style="1" customWidth="1"/>
    <col min="6139" max="6139" width="13.85546875" style="1" customWidth="1"/>
    <col min="6140" max="6140" width="12.140625" style="1" customWidth="1"/>
    <col min="6141" max="6141" width="13.7109375" style="1" customWidth="1"/>
    <col min="6142" max="6142" width="8.5703125" style="1" customWidth="1"/>
    <col min="6143" max="6143" width="13" style="1" customWidth="1"/>
    <col min="6144" max="6144" width="9" style="1" customWidth="1"/>
    <col min="6145" max="6145" width="6.7109375" style="1" customWidth="1"/>
    <col min="6146" max="6146" width="9" style="1" customWidth="1"/>
    <col min="6147" max="6147" width="6.85546875" style="1" customWidth="1"/>
    <col min="6148" max="6148" width="10.5703125" style="1" customWidth="1"/>
    <col min="6149" max="6149" width="12.28515625" style="1" customWidth="1"/>
    <col min="6150" max="6150" width="12.5703125" style="1" customWidth="1"/>
    <col min="6151" max="6151" width="1.5703125" style="1" customWidth="1"/>
    <col min="6152" max="6152" width="45.140625" style="1" customWidth="1"/>
    <col min="6153" max="6153" width="13.140625" style="1" customWidth="1"/>
    <col min="6154" max="6154" width="10.28515625" style="1" bestFit="1" customWidth="1"/>
    <col min="6155" max="6155" width="16.28515625" style="1" bestFit="1" customWidth="1"/>
    <col min="6156" max="6156" width="11.28515625" style="1" bestFit="1" customWidth="1"/>
    <col min="6157" max="6389" width="9.140625" style="1"/>
    <col min="6390" max="6390" width="5.140625" style="1" customWidth="1"/>
    <col min="6391" max="6391" width="33.5703125" style="1" customWidth="1"/>
    <col min="6392" max="6392" width="25.85546875" style="1" customWidth="1"/>
    <col min="6393" max="6393" width="0" style="1" hidden="1" customWidth="1"/>
    <col min="6394" max="6394" width="14.85546875" style="1" customWidth="1"/>
    <col min="6395" max="6395" width="13.85546875" style="1" customWidth="1"/>
    <col min="6396" max="6396" width="12.140625" style="1" customWidth="1"/>
    <col min="6397" max="6397" width="13.7109375" style="1" customWidth="1"/>
    <col min="6398" max="6398" width="8.5703125" style="1" customWidth="1"/>
    <col min="6399" max="6399" width="13" style="1" customWidth="1"/>
    <col min="6400" max="6400" width="9" style="1" customWidth="1"/>
    <col min="6401" max="6401" width="6.7109375" style="1" customWidth="1"/>
    <col min="6402" max="6402" width="9" style="1" customWidth="1"/>
    <col min="6403" max="6403" width="6.85546875" style="1" customWidth="1"/>
    <col min="6404" max="6404" width="10.5703125" style="1" customWidth="1"/>
    <col min="6405" max="6405" width="12.28515625" style="1" customWidth="1"/>
    <col min="6406" max="6406" width="12.5703125" style="1" customWidth="1"/>
    <col min="6407" max="6407" width="1.5703125" style="1" customWidth="1"/>
    <col min="6408" max="6408" width="45.140625" style="1" customWidth="1"/>
    <col min="6409" max="6409" width="13.140625" style="1" customWidth="1"/>
    <col min="6410" max="6410" width="10.28515625" style="1" bestFit="1" customWidth="1"/>
    <col min="6411" max="6411" width="16.28515625" style="1" bestFit="1" customWidth="1"/>
    <col min="6412" max="6412" width="11.28515625" style="1" bestFit="1" customWidth="1"/>
    <col min="6413" max="6645" width="9.140625" style="1"/>
    <col min="6646" max="6646" width="5.140625" style="1" customWidth="1"/>
    <col min="6647" max="6647" width="33.5703125" style="1" customWidth="1"/>
    <col min="6648" max="6648" width="25.85546875" style="1" customWidth="1"/>
    <col min="6649" max="6649" width="0" style="1" hidden="1" customWidth="1"/>
    <col min="6650" max="6650" width="14.85546875" style="1" customWidth="1"/>
    <col min="6651" max="6651" width="13.85546875" style="1" customWidth="1"/>
    <col min="6652" max="6652" width="12.140625" style="1" customWidth="1"/>
    <col min="6653" max="6653" width="13.7109375" style="1" customWidth="1"/>
    <col min="6654" max="6654" width="8.5703125" style="1" customWidth="1"/>
    <col min="6655" max="6655" width="13" style="1" customWidth="1"/>
    <col min="6656" max="6656" width="9" style="1" customWidth="1"/>
    <col min="6657" max="6657" width="6.7109375" style="1" customWidth="1"/>
    <col min="6658" max="6658" width="9" style="1" customWidth="1"/>
    <col min="6659" max="6659" width="6.85546875" style="1" customWidth="1"/>
    <col min="6660" max="6660" width="10.5703125" style="1" customWidth="1"/>
    <col min="6661" max="6661" width="12.28515625" style="1" customWidth="1"/>
    <col min="6662" max="6662" width="12.5703125" style="1" customWidth="1"/>
    <col min="6663" max="6663" width="1.5703125" style="1" customWidth="1"/>
    <col min="6664" max="6664" width="45.140625" style="1" customWidth="1"/>
    <col min="6665" max="6665" width="13.140625" style="1" customWidth="1"/>
    <col min="6666" max="6666" width="10.28515625" style="1" bestFit="1" customWidth="1"/>
    <col min="6667" max="6667" width="16.28515625" style="1" bestFit="1" customWidth="1"/>
    <col min="6668" max="6668" width="11.28515625" style="1" bestFit="1" customWidth="1"/>
    <col min="6669" max="6901" width="9.140625" style="1"/>
    <col min="6902" max="6902" width="5.140625" style="1" customWidth="1"/>
    <col min="6903" max="6903" width="33.5703125" style="1" customWidth="1"/>
    <col min="6904" max="6904" width="25.85546875" style="1" customWidth="1"/>
    <col min="6905" max="6905" width="0" style="1" hidden="1" customWidth="1"/>
    <col min="6906" max="6906" width="14.85546875" style="1" customWidth="1"/>
    <col min="6907" max="6907" width="13.85546875" style="1" customWidth="1"/>
    <col min="6908" max="6908" width="12.140625" style="1" customWidth="1"/>
    <col min="6909" max="6909" width="13.7109375" style="1" customWidth="1"/>
    <col min="6910" max="6910" width="8.5703125" style="1" customWidth="1"/>
    <col min="6911" max="6911" width="13" style="1" customWidth="1"/>
    <col min="6912" max="6912" width="9" style="1" customWidth="1"/>
    <col min="6913" max="6913" width="6.7109375" style="1" customWidth="1"/>
    <col min="6914" max="6914" width="9" style="1" customWidth="1"/>
    <col min="6915" max="6915" width="6.85546875" style="1" customWidth="1"/>
    <col min="6916" max="6916" width="10.5703125" style="1" customWidth="1"/>
    <col min="6917" max="6917" width="12.28515625" style="1" customWidth="1"/>
    <col min="6918" max="6918" width="12.5703125" style="1" customWidth="1"/>
    <col min="6919" max="6919" width="1.5703125" style="1" customWidth="1"/>
    <col min="6920" max="6920" width="45.140625" style="1" customWidth="1"/>
    <col min="6921" max="6921" width="13.140625" style="1" customWidth="1"/>
    <col min="6922" max="6922" width="10.28515625" style="1" bestFit="1" customWidth="1"/>
    <col min="6923" max="6923" width="16.28515625" style="1" bestFit="1" customWidth="1"/>
    <col min="6924" max="6924" width="11.28515625" style="1" bestFit="1" customWidth="1"/>
    <col min="6925" max="7157" width="9.140625" style="1"/>
    <col min="7158" max="7158" width="5.140625" style="1" customWidth="1"/>
    <col min="7159" max="7159" width="33.5703125" style="1" customWidth="1"/>
    <col min="7160" max="7160" width="25.85546875" style="1" customWidth="1"/>
    <col min="7161" max="7161" width="0" style="1" hidden="1" customWidth="1"/>
    <col min="7162" max="7162" width="14.85546875" style="1" customWidth="1"/>
    <col min="7163" max="7163" width="13.85546875" style="1" customWidth="1"/>
    <col min="7164" max="7164" width="12.140625" style="1" customWidth="1"/>
    <col min="7165" max="7165" width="13.7109375" style="1" customWidth="1"/>
    <col min="7166" max="7166" width="8.5703125" style="1" customWidth="1"/>
    <col min="7167" max="7167" width="13" style="1" customWidth="1"/>
    <col min="7168" max="7168" width="9" style="1" customWidth="1"/>
    <col min="7169" max="7169" width="6.7109375" style="1" customWidth="1"/>
    <col min="7170" max="7170" width="9" style="1" customWidth="1"/>
    <col min="7171" max="7171" width="6.85546875" style="1" customWidth="1"/>
    <col min="7172" max="7172" width="10.5703125" style="1" customWidth="1"/>
    <col min="7173" max="7173" width="12.28515625" style="1" customWidth="1"/>
    <col min="7174" max="7174" width="12.5703125" style="1" customWidth="1"/>
    <col min="7175" max="7175" width="1.5703125" style="1" customWidth="1"/>
    <col min="7176" max="7176" width="45.140625" style="1" customWidth="1"/>
    <col min="7177" max="7177" width="13.140625" style="1" customWidth="1"/>
    <col min="7178" max="7178" width="10.28515625" style="1" bestFit="1" customWidth="1"/>
    <col min="7179" max="7179" width="16.28515625" style="1" bestFit="1" customWidth="1"/>
    <col min="7180" max="7180" width="11.28515625" style="1" bestFit="1" customWidth="1"/>
    <col min="7181" max="7413" width="9.140625" style="1"/>
    <col min="7414" max="7414" width="5.140625" style="1" customWidth="1"/>
    <col min="7415" max="7415" width="33.5703125" style="1" customWidth="1"/>
    <col min="7416" max="7416" width="25.85546875" style="1" customWidth="1"/>
    <col min="7417" max="7417" width="0" style="1" hidden="1" customWidth="1"/>
    <col min="7418" max="7418" width="14.85546875" style="1" customWidth="1"/>
    <col min="7419" max="7419" width="13.85546875" style="1" customWidth="1"/>
    <col min="7420" max="7420" width="12.140625" style="1" customWidth="1"/>
    <col min="7421" max="7421" width="13.7109375" style="1" customWidth="1"/>
    <col min="7422" max="7422" width="8.5703125" style="1" customWidth="1"/>
    <col min="7423" max="7423" width="13" style="1" customWidth="1"/>
    <col min="7424" max="7424" width="9" style="1" customWidth="1"/>
    <col min="7425" max="7425" width="6.7109375" style="1" customWidth="1"/>
    <col min="7426" max="7426" width="9" style="1" customWidth="1"/>
    <col min="7427" max="7427" width="6.85546875" style="1" customWidth="1"/>
    <col min="7428" max="7428" width="10.5703125" style="1" customWidth="1"/>
    <col min="7429" max="7429" width="12.28515625" style="1" customWidth="1"/>
    <col min="7430" max="7430" width="12.5703125" style="1" customWidth="1"/>
    <col min="7431" max="7431" width="1.5703125" style="1" customWidth="1"/>
    <col min="7432" max="7432" width="45.140625" style="1" customWidth="1"/>
    <col min="7433" max="7433" width="13.140625" style="1" customWidth="1"/>
    <col min="7434" max="7434" width="10.28515625" style="1" bestFit="1" customWidth="1"/>
    <col min="7435" max="7435" width="16.28515625" style="1" bestFit="1" customWidth="1"/>
    <col min="7436" max="7436" width="11.28515625" style="1" bestFit="1" customWidth="1"/>
    <col min="7437" max="7669" width="9.140625" style="1"/>
    <col min="7670" max="7670" width="5.140625" style="1" customWidth="1"/>
    <col min="7671" max="7671" width="33.5703125" style="1" customWidth="1"/>
    <col min="7672" max="7672" width="25.85546875" style="1" customWidth="1"/>
    <col min="7673" max="7673" width="0" style="1" hidden="1" customWidth="1"/>
    <col min="7674" max="7674" width="14.85546875" style="1" customWidth="1"/>
    <col min="7675" max="7675" width="13.85546875" style="1" customWidth="1"/>
    <col min="7676" max="7676" width="12.140625" style="1" customWidth="1"/>
    <col min="7677" max="7677" width="13.7109375" style="1" customWidth="1"/>
    <col min="7678" max="7678" width="8.5703125" style="1" customWidth="1"/>
    <col min="7679" max="7679" width="13" style="1" customWidth="1"/>
    <col min="7680" max="7680" width="9" style="1" customWidth="1"/>
    <col min="7681" max="7681" width="6.7109375" style="1" customWidth="1"/>
    <col min="7682" max="7682" width="9" style="1" customWidth="1"/>
    <col min="7683" max="7683" width="6.85546875" style="1" customWidth="1"/>
    <col min="7684" max="7684" width="10.5703125" style="1" customWidth="1"/>
    <col min="7685" max="7685" width="12.28515625" style="1" customWidth="1"/>
    <col min="7686" max="7686" width="12.5703125" style="1" customWidth="1"/>
    <col min="7687" max="7687" width="1.5703125" style="1" customWidth="1"/>
    <col min="7688" max="7688" width="45.140625" style="1" customWidth="1"/>
    <col min="7689" max="7689" width="13.140625" style="1" customWidth="1"/>
    <col min="7690" max="7690" width="10.28515625" style="1" bestFit="1" customWidth="1"/>
    <col min="7691" max="7691" width="16.28515625" style="1" bestFit="1" customWidth="1"/>
    <col min="7692" max="7692" width="11.28515625" style="1" bestFit="1" customWidth="1"/>
    <col min="7693" max="7925" width="9.140625" style="1"/>
    <col min="7926" max="7926" width="5.140625" style="1" customWidth="1"/>
    <col min="7927" max="7927" width="33.5703125" style="1" customWidth="1"/>
    <col min="7928" max="7928" width="25.85546875" style="1" customWidth="1"/>
    <col min="7929" max="7929" width="0" style="1" hidden="1" customWidth="1"/>
    <col min="7930" max="7930" width="14.85546875" style="1" customWidth="1"/>
    <col min="7931" max="7931" width="13.85546875" style="1" customWidth="1"/>
    <col min="7932" max="7932" width="12.140625" style="1" customWidth="1"/>
    <col min="7933" max="7933" width="13.7109375" style="1" customWidth="1"/>
    <col min="7934" max="7934" width="8.5703125" style="1" customWidth="1"/>
    <col min="7935" max="7935" width="13" style="1" customWidth="1"/>
    <col min="7936" max="7936" width="9" style="1" customWidth="1"/>
    <col min="7937" max="7937" width="6.7109375" style="1" customWidth="1"/>
    <col min="7938" max="7938" width="9" style="1" customWidth="1"/>
    <col min="7939" max="7939" width="6.85546875" style="1" customWidth="1"/>
    <col min="7940" max="7940" width="10.5703125" style="1" customWidth="1"/>
    <col min="7941" max="7941" width="12.28515625" style="1" customWidth="1"/>
    <col min="7942" max="7942" width="12.5703125" style="1" customWidth="1"/>
    <col min="7943" max="7943" width="1.5703125" style="1" customWidth="1"/>
    <col min="7944" max="7944" width="45.140625" style="1" customWidth="1"/>
    <col min="7945" max="7945" width="13.140625" style="1" customWidth="1"/>
    <col min="7946" max="7946" width="10.28515625" style="1" bestFit="1" customWidth="1"/>
    <col min="7947" max="7947" width="16.28515625" style="1" bestFit="1" customWidth="1"/>
    <col min="7948" max="7948" width="11.28515625" style="1" bestFit="1" customWidth="1"/>
    <col min="7949" max="8181" width="9.140625" style="1"/>
    <col min="8182" max="8182" width="5.140625" style="1" customWidth="1"/>
    <col min="8183" max="8183" width="33.5703125" style="1" customWidth="1"/>
    <col min="8184" max="8184" width="25.85546875" style="1" customWidth="1"/>
    <col min="8185" max="8185" width="0" style="1" hidden="1" customWidth="1"/>
    <col min="8186" max="8186" width="14.85546875" style="1" customWidth="1"/>
    <col min="8187" max="8187" width="13.85546875" style="1" customWidth="1"/>
    <col min="8188" max="8188" width="12.140625" style="1" customWidth="1"/>
    <col min="8189" max="8189" width="13.7109375" style="1" customWidth="1"/>
    <col min="8190" max="8190" width="8.5703125" style="1" customWidth="1"/>
    <col min="8191" max="8191" width="13" style="1" customWidth="1"/>
    <col min="8192" max="8192" width="9" style="1" customWidth="1"/>
    <col min="8193" max="8193" width="6.7109375" style="1" customWidth="1"/>
    <col min="8194" max="8194" width="9" style="1" customWidth="1"/>
    <col min="8195" max="8195" width="6.85546875" style="1" customWidth="1"/>
    <col min="8196" max="8196" width="10.5703125" style="1" customWidth="1"/>
    <col min="8197" max="8197" width="12.28515625" style="1" customWidth="1"/>
    <col min="8198" max="8198" width="12.5703125" style="1" customWidth="1"/>
    <col min="8199" max="8199" width="1.5703125" style="1" customWidth="1"/>
    <col min="8200" max="8200" width="45.140625" style="1" customWidth="1"/>
    <col min="8201" max="8201" width="13.140625" style="1" customWidth="1"/>
    <col min="8202" max="8202" width="10.28515625" style="1" bestFit="1" customWidth="1"/>
    <col min="8203" max="8203" width="16.28515625" style="1" bestFit="1" customWidth="1"/>
    <col min="8204" max="8204" width="11.28515625" style="1" bestFit="1" customWidth="1"/>
    <col min="8205" max="8437" width="9.140625" style="1"/>
    <col min="8438" max="8438" width="5.140625" style="1" customWidth="1"/>
    <col min="8439" max="8439" width="33.5703125" style="1" customWidth="1"/>
    <col min="8440" max="8440" width="25.85546875" style="1" customWidth="1"/>
    <col min="8441" max="8441" width="0" style="1" hidden="1" customWidth="1"/>
    <col min="8442" max="8442" width="14.85546875" style="1" customWidth="1"/>
    <col min="8443" max="8443" width="13.85546875" style="1" customWidth="1"/>
    <col min="8444" max="8444" width="12.140625" style="1" customWidth="1"/>
    <col min="8445" max="8445" width="13.7109375" style="1" customWidth="1"/>
    <col min="8446" max="8446" width="8.5703125" style="1" customWidth="1"/>
    <col min="8447" max="8447" width="13" style="1" customWidth="1"/>
    <col min="8448" max="8448" width="9" style="1" customWidth="1"/>
    <col min="8449" max="8449" width="6.7109375" style="1" customWidth="1"/>
    <col min="8450" max="8450" width="9" style="1" customWidth="1"/>
    <col min="8451" max="8451" width="6.85546875" style="1" customWidth="1"/>
    <col min="8452" max="8452" width="10.5703125" style="1" customWidth="1"/>
    <col min="8453" max="8453" width="12.28515625" style="1" customWidth="1"/>
    <col min="8454" max="8454" width="12.5703125" style="1" customWidth="1"/>
    <col min="8455" max="8455" width="1.5703125" style="1" customWidth="1"/>
    <col min="8456" max="8456" width="45.140625" style="1" customWidth="1"/>
    <col min="8457" max="8457" width="13.140625" style="1" customWidth="1"/>
    <col min="8458" max="8458" width="10.28515625" style="1" bestFit="1" customWidth="1"/>
    <col min="8459" max="8459" width="16.28515625" style="1" bestFit="1" customWidth="1"/>
    <col min="8460" max="8460" width="11.28515625" style="1" bestFit="1" customWidth="1"/>
    <col min="8461" max="8693" width="9.140625" style="1"/>
    <col min="8694" max="8694" width="5.140625" style="1" customWidth="1"/>
    <col min="8695" max="8695" width="33.5703125" style="1" customWidth="1"/>
    <col min="8696" max="8696" width="25.85546875" style="1" customWidth="1"/>
    <col min="8697" max="8697" width="0" style="1" hidden="1" customWidth="1"/>
    <col min="8698" max="8698" width="14.85546875" style="1" customWidth="1"/>
    <col min="8699" max="8699" width="13.85546875" style="1" customWidth="1"/>
    <col min="8700" max="8700" width="12.140625" style="1" customWidth="1"/>
    <col min="8701" max="8701" width="13.7109375" style="1" customWidth="1"/>
    <col min="8702" max="8702" width="8.5703125" style="1" customWidth="1"/>
    <col min="8703" max="8703" width="13" style="1" customWidth="1"/>
    <col min="8704" max="8704" width="9" style="1" customWidth="1"/>
    <col min="8705" max="8705" width="6.7109375" style="1" customWidth="1"/>
    <col min="8706" max="8706" width="9" style="1" customWidth="1"/>
    <col min="8707" max="8707" width="6.85546875" style="1" customWidth="1"/>
    <col min="8708" max="8708" width="10.5703125" style="1" customWidth="1"/>
    <col min="8709" max="8709" width="12.28515625" style="1" customWidth="1"/>
    <col min="8710" max="8710" width="12.5703125" style="1" customWidth="1"/>
    <col min="8711" max="8711" width="1.5703125" style="1" customWidth="1"/>
    <col min="8712" max="8712" width="45.140625" style="1" customWidth="1"/>
    <col min="8713" max="8713" width="13.140625" style="1" customWidth="1"/>
    <col min="8714" max="8714" width="10.28515625" style="1" bestFit="1" customWidth="1"/>
    <col min="8715" max="8715" width="16.28515625" style="1" bestFit="1" customWidth="1"/>
    <col min="8716" max="8716" width="11.28515625" style="1" bestFit="1" customWidth="1"/>
    <col min="8717" max="8949" width="9.140625" style="1"/>
    <col min="8950" max="8950" width="5.140625" style="1" customWidth="1"/>
    <col min="8951" max="8951" width="33.5703125" style="1" customWidth="1"/>
    <col min="8952" max="8952" width="25.85546875" style="1" customWidth="1"/>
    <col min="8953" max="8953" width="0" style="1" hidden="1" customWidth="1"/>
    <col min="8954" max="8954" width="14.85546875" style="1" customWidth="1"/>
    <col min="8955" max="8955" width="13.85546875" style="1" customWidth="1"/>
    <col min="8956" max="8956" width="12.140625" style="1" customWidth="1"/>
    <col min="8957" max="8957" width="13.7109375" style="1" customWidth="1"/>
    <col min="8958" max="8958" width="8.5703125" style="1" customWidth="1"/>
    <col min="8959" max="8959" width="13" style="1" customWidth="1"/>
    <col min="8960" max="8960" width="9" style="1" customWidth="1"/>
    <col min="8961" max="8961" width="6.7109375" style="1" customWidth="1"/>
    <col min="8962" max="8962" width="9" style="1" customWidth="1"/>
    <col min="8963" max="8963" width="6.85546875" style="1" customWidth="1"/>
    <col min="8964" max="8964" width="10.5703125" style="1" customWidth="1"/>
    <col min="8965" max="8965" width="12.28515625" style="1" customWidth="1"/>
    <col min="8966" max="8966" width="12.5703125" style="1" customWidth="1"/>
    <col min="8967" max="8967" width="1.5703125" style="1" customWidth="1"/>
    <col min="8968" max="8968" width="45.140625" style="1" customWidth="1"/>
    <col min="8969" max="8969" width="13.140625" style="1" customWidth="1"/>
    <col min="8970" max="8970" width="10.28515625" style="1" bestFit="1" customWidth="1"/>
    <col min="8971" max="8971" width="16.28515625" style="1" bestFit="1" customWidth="1"/>
    <col min="8972" max="8972" width="11.28515625" style="1" bestFit="1" customWidth="1"/>
    <col min="8973" max="9205" width="9.140625" style="1"/>
    <col min="9206" max="9206" width="5.140625" style="1" customWidth="1"/>
    <col min="9207" max="9207" width="33.5703125" style="1" customWidth="1"/>
    <col min="9208" max="9208" width="25.85546875" style="1" customWidth="1"/>
    <col min="9209" max="9209" width="0" style="1" hidden="1" customWidth="1"/>
    <col min="9210" max="9210" width="14.85546875" style="1" customWidth="1"/>
    <col min="9211" max="9211" width="13.85546875" style="1" customWidth="1"/>
    <col min="9212" max="9212" width="12.140625" style="1" customWidth="1"/>
    <col min="9213" max="9213" width="13.7109375" style="1" customWidth="1"/>
    <col min="9214" max="9214" width="8.5703125" style="1" customWidth="1"/>
    <col min="9215" max="9215" width="13" style="1" customWidth="1"/>
    <col min="9216" max="9216" width="9" style="1" customWidth="1"/>
    <col min="9217" max="9217" width="6.7109375" style="1" customWidth="1"/>
    <col min="9218" max="9218" width="9" style="1" customWidth="1"/>
    <col min="9219" max="9219" width="6.85546875" style="1" customWidth="1"/>
    <col min="9220" max="9220" width="10.5703125" style="1" customWidth="1"/>
    <col min="9221" max="9221" width="12.28515625" style="1" customWidth="1"/>
    <col min="9222" max="9222" width="12.5703125" style="1" customWidth="1"/>
    <col min="9223" max="9223" width="1.5703125" style="1" customWidth="1"/>
    <col min="9224" max="9224" width="45.140625" style="1" customWidth="1"/>
    <col min="9225" max="9225" width="13.140625" style="1" customWidth="1"/>
    <col min="9226" max="9226" width="10.28515625" style="1" bestFit="1" customWidth="1"/>
    <col min="9227" max="9227" width="16.28515625" style="1" bestFit="1" customWidth="1"/>
    <col min="9228" max="9228" width="11.28515625" style="1" bestFit="1" customWidth="1"/>
    <col min="9229" max="9461" width="9.140625" style="1"/>
    <col min="9462" max="9462" width="5.140625" style="1" customWidth="1"/>
    <col min="9463" max="9463" width="33.5703125" style="1" customWidth="1"/>
    <col min="9464" max="9464" width="25.85546875" style="1" customWidth="1"/>
    <col min="9465" max="9465" width="0" style="1" hidden="1" customWidth="1"/>
    <col min="9466" max="9466" width="14.85546875" style="1" customWidth="1"/>
    <col min="9467" max="9467" width="13.85546875" style="1" customWidth="1"/>
    <col min="9468" max="9468" width="12.140625" style="1" customWidth="1"/>
    <col min="9469" max="9469" width="13.7109375" style="1" customWidth="1"/>
    <col min="9470" max="9470" width="8.5703125" style="1" customWidth="1"/>
    <col min="9471" max="9471" width="13" style="1" customWidth="1"/>
    <col min="9472" max="9472" width="9" style="1" customWidth="1"/>
    <col min="9473" max="9473" width="6.7109375" style="1" customWidth="1"/>
    <col min="9474" max="9474" width="9" style="1" customWidth="1"/>
    <col min="9475" max="9475" width="6.85546875" style="1" customWidth="1"/>
    <col min="9476" max="9476" width="10.5703125" style="1" customWidth="1"/>
    <col min="9477" max="9477" width="12.28515625" style="1" customWidth="1"/>
    <col min="9478" max="9478" width="12.5703125" style="1" customWidth="1"/>
    <col min="9479" max="9479" width="1.5703125" style="1" customWidth="1"/>
    <col min="9480" max="9480" width="45.140625" style="1" customWidth="1"/>
    <col min="9481" max="9481" width="13.140625" style="1" customWidth="1"/>
    <col min="9482" max="9482" width="10.28515625" style="1" bestFit="1" customWidth="1"/>
    <col min="9483" max="9483" width="16.28515625" style="1" bestFit="1" customWidth="1"/>
    <col min="9484" max="9484" width="11.28515625" style="1" bestFit="1" customWidth="1"/>
    <col min="9485" max="9717" width="9.140625" style="1"/>
    <col min="9718" max="9718" width="5.140625" style="1" customWidth="1"/>
    <col min="9719" max="9719" width="33.5703125" style="1" customWidth="1"/>
    <col min="9720" max="9720" width="25.85546875" style="1" customWidth="1"/>
    <col min="9721" max="9721" width="0" style="1" hidden="1" customWidth="1"/>
    <col min="9722" max="9722" width="14.85546875" style="1" customWidth="1"/>
    <col min="9723" max="9723" width="13.85546875" style="1" customWidth="1"/>
    <col min="9724" max="9724" width="12.140625" style="1" customWidth="1"/>
    <col min="9725" max="9725" width="13.7109375" style="1" customWidth="1"/>
    <col min="9726" max="9726" width="8.5703125" style="1" customWidth="1"/>
    <col min="9727" max="9727" width="13" style="1" customWidth="1"/>
    <col min="9728" max="9728" width="9" style="1" customWidth="1"/>
    <col min="9729" max="9729" width="6.7109375" style="1" customWidth="1"/>
    <col min="9730" max="9730" width="9" style="1" customWidth="1"/>
    <col min="9731" max="9731" width="6.85546875" style="1" customWidth="1"/>
    <col min="9732" max="9732" width="10.5703125" style="1" customWidth="1"/>
    <col min="9733" max="9733" width="12.28515625" style="1" customWidth="1"/>
    <col min="9734" max="9734" width="12.5703125" style="1" customWidth="1"/>
    <col min="9735" max="9735" width="1.5703125" style="1" customWidth="1"/>
    <col min="9736" max="9736" width="45.140625" style="1" customWidth="1"/>
    <col min="9737" max="9737" width="13.140625" style="1" customWidth="1"/>
    <col min="9738" max="9738" width="10.28515625" style="1" bestFit="1" customWidth="1"/>
    <col min="9739" max="9739" width="16.28515625" style="1" bestFit="1" customWidth="1"/>
    <col min="9740" max="9740" width="11.28515625" style="1" bestFit="1" customWidth="1"/>
    <col min="9741" max="9973" width="9.140625" style="1"/>
    <col min="9974" max="9974" width="5.140625" style="1" customWidth="1"/>
    <col min="9975" max="9975" width="33.5703125" style="1" customWidth="1"/>
    <col min="9976" max="9976" width="25.85546875" style="1" customWidth="1"/>
    <col min="9977" max="9977" width="0" style="1" hidden="1" customWidth="1"/>
    <col min="9978" max="9978" width="14.85546875" style="1" customWidth="1"/>
    <col min="9979" max="9979" width="13.85546875" style="1" customWidth="1"/>
    <col min="9980" max="9980" width="12.140625" style="1" customWidth="1"/>
    <col min="9981" max="9981" width="13.7109375" style="1" customWidth="1"/>
    <col min="9982" max="9982" width="8.5703125" style="1" customWidth="1"/>
    <col min="9983" max="9983" width="13" style="1" customWidth="1"/>
    <col min="9984" max="9984" width="9" style="1" customWidth="1"/>
    <col min="9985" max="9985" width="6.7109375" style="1" customWidth="1"/>
    <col min="9986" max="9986" width="9" style="1" customWidth="1"/>
    <col min="9987" max="9987" width="6.85546875" style="1" customWidth="1"/>
    <col min="9988" max="9988" width="10.5703125" style="1" customWidth="1"/>
    <col min="9989" max="9989" width="12.28515625" style="1" customWidth="1"/>
    <col min="9990" max="9990" width="12.5703125" style="1" customWidth="1"/>
    <col min="9991" max="9991" width="1.5703125" style="1" customWidth="1"/>
    <col min="9992" max="9992" width="45.140625" style="1" customWidth="1"/>
    <col min="9993" max="9993" width="13.140625" style="1" customWidth="1"/>
    <col min="9994" max="9994" width="10.28515625" style="1" bestFit="1" customWidth="1"/>
    <col min="9995" max="9995" width="16.28515625" style="1" bestFit="1" customWidth="1"/>
    <col min="9996" max="9996" width="11.28515625" style="1" bestFit="1" customWidth="1"/>
    <col min="9997" max="10229" width="9.140625" style="1"/>
    <col min="10230" max="10230" width="5.140625" style="1" customWidth="1"/>
    <col min="10231" max="10231" width="33.5703125" style="1" customWidth="1"/>
    <col min="10232" max="10232" width="25.85546875" style="1" customWidth="1"/>
    <col min="10233" max="10233" width="0" style="1" hidden="1" customWidth="1"/>
    <col min="10234" max="10234" width="14.85546875" style="1" customWidth="1"/>
    <col min="10235" max="10235" width="13.85546875" style="1" customWidth="1"/>
    <col min="10236" max="10236" width="12.140625" style="1" customWidth="1"/>
    <col min="10237" max="10237" width="13.7109375" style="1" customWidth="1"/>
    <col min="10238" max="10238" width="8.5703125" style="1" customWidth="1"/>
    <col min="10239" max="10239" width="13" style="1" customWidth="1"/>
    <col min="10240" max="10240" width="9" style="1" customWidth="1"/>
    <col min="10241" max="10241" width="6.7109375" style="1" customWidth="1"/>
    <col min="10242" max="10242" width="9" style="1" customWidth="1"/>
    <col min="10243" max="10243" width="6.85546875" style="1" customWidth="1"/>
    <col min="10244" max="10244" width="10.5703125" style="1" customWidth="1"/>
    <col min="10245" max="10245" width="12.28515625" style="1" customWidth="1"/>
    <col min="10246" max="10246" width="12.5703125" style="1" customWidth="1"/>
    <col min="10247" max="10247" width="1.5703125" style="1" customWidth="1"/>
    <col min="10248" max="10248" width="45.140625" style="1" customWidth="1"/>
    <col min="10249" max="10249" width="13.140625" style="1" customWidth="1"/>
    <col min="10250" max="10250" width="10.28515625" style="1" bestFit="1" customWidth="1"/>
    <col min="10251" max="10251" width="16.28515625" style="1" bestFit="1" customWidth="1"/>
    <col min="10252" max="10252" width="11.28515625" style="1" bestFit="1" customWidth="1"/>
    <col min="10253" max="10485" width="9.140625" style="1"/>
    <col min="10486" max="10486" width="5.140625" style="1" customWidth="1"/>
    <col min="10487" max="10487" width="33.5703125" style="1" customWidth="1"/>
    <col min="10488" max="10488" width="25.85546875" style="1" customWidth="1"/>
    <col min="10489" max="10489" width="0" style="1" hidden="1" customWidth="1"/>
    <col min="10490" max="10490" width="14.85546875" style="1" customWidth="1"/>
    <col min="10491" max="10491" width="13.85546875" style="1" customWidth="1"/>
    <col min="10492" max="10492" width="12.140625" style="1" customWidth="1"/>
    <col min="10493" max="10493" width="13.7109375" style="1" customWidth="1"/>
    <col min="10494" max="10494" width="8.5703125" style="1" customWidth="1"/>
    <col min="10495" max="10495" width="13" style="1" customWidth="1"/>
    <col min="10496" max="10496" width="9" style="1" customWidth="1"/>
    <col min="10497" max="10497" width="6.7109375" style="1" customWidth="1"/>
    <col min="10498" max="10498" width="9" style="1" customWidth="1"/>
    <col min="10499" max="10499" width="6.85546875" style="1" customWidth="1"/>
    <col min="10500" max="10500" width="10.5703125" style="1" customWidth="1"/>
    <col min="10501" max="10501" width="12.28515625" style="1" customWidth="1"/>
    <col min="10502" max="10502" width="12.5703125" style="1" customWidth="1"/>
    <col min="10503" max="10503" width="1.5703125" style="1" customWidth="1"/>
    <col min="10504" max="10504" width="45.140625" style="1" customWidth="1"/>
    <col min="10505" max="10505" width="13.140625" style="1" customWidth="1"/>
    <col min="10506" max="10506" width="10.28515625" style="1" bestFit="1" customWidth="1"/>
    <col min="10507" max="10507" width="16.28515625" style="1" bestFit="1" customWidth="1"/>
    <col min="10508" max="10508" width="11.28515625" style="1" bestFit="1" customWidth="1"/>
    <col min="10509" max="10741" width="9.140625" style="1"/>
    <col min="10742" max="10742" width="5.140625" style="1" customWidth="1"/>
    <col min="10743" max="10743" width="33.5703125" style="1" customWidth="1"/>
    <col min="10744" max="10744" width="25.85546875" style="1" customWidth="1"/>
    <col min="10745" max="10745" width="0" style="1" hidden="1" customWidth="1"/>
    <col min="10746" max="10746" width="14.85546875" style="1" customWidth="1"/>
    <col min="10747" max="10747" width="13.85546875" style="1" customWidth="1"/>
    <col min="10748" max="10748" width="12.140625" style="1" customWidth="1"/>
    <col min="10749" max="10749" width="13.7109375" style="1" customWidth="1"/>
    <col min="10750" max="10750" width="8.5703125" style="1" customWidth="1"/>
    <col min="10751" max="10751" width="13" style="1" customWidth="1"/>
    <col min="10752" max="10752" width="9" style="1" customWidth="1"/>
    <col min="10753" max="10753" width="6.7109375" style="1" customWidth="1"/>
    <col min="10754" max="10754" width="9" style="1" customWidth="1"/>
    <col min="10755" max="10755" width="6.85546875" style="1" customWidth="1"/>
    <col min="10756" max="10756" width="10.5703125" style="1" customWidth="1"/>
    <col min="10757" max="10757" width="12.28515625" style="1" customWidth="1"/>
    <col min="10758" max="10758" width="12.5703125" style="1" customWidth="1"/>
    <col min="10759" max="10759" width="1.5703125" style="1" customWidth="1"/>
    <col min="10760" max="10760" width="45.140625" style="1" customWidth="1"/>
    <col min="10761" max="10761" width="13.140625" style="1" customWidth="1"/>
    <col min="10762" max="10762" width="10.28515625" style="1" bestFit="1" customWidth="1"/>
    <col min="10763" max="10763" width="16.28515625" style="1" bestFit="1" customWidth="1"/>
    <col min="10764" max="10764" width="11.28515625" style="1" bestFit="1" customWidth="1"/>
    <col min="10765" max="10997" width="9.140625" style="1"/>
    <col min="10998" max="10998" width="5.140625" style="1" customWidth="1"/>
    <col min="10999" max="10999" width="33.5703125" style="1" customWidth="1"/>
    <col min="11000" max="11000" width="25.85546875" style="1" customWidth="1"/>
    <col min="11001" max="11001" width="0" style="1" hidden="1" customWidth="1"/>
    <col min="11002" max="11002" width="14.85546875" style="1" customWidth="1"/>
    <col min="11003" max="11003" width="13.85546875" style="1" customWidth="1"/>
    <col min="11004" max="11004" width="12.140625" style="1" customWidth="1"/>
    <col min="11005" max="11005" width="13.7109375" style="1" customWidth="1"/>
    <col min="11006" max="11006" width="8.5703125" style="1" customWidth="1"/>
    <col min="11007" max="11007" width="13" style="1" customWidth="1"/>
    <col min="11008" max="11008" width="9" style="1" customWidth="1"/>
    <col min="11009" max="11009" width="6.7109375" style="1" customWidth="1"/>
    <col min="11010" max="11010" width="9" style="1" customWidth="1"/>
    <col min="11011" max="11011" width="6.85546875" style="1" customWidth="1"/>
    <col min="11012" max="11012" width="10.5703125" style="1" customWidth="1"/>
    <col min="11013" max="11013" width="12.28515625" style="1" customWidth="1"/>
    <col min="11014" max="11014" width="12.5703125" style="1" customWidth="1"/>
    <col min="11015" max="11015" width="1.5703125" style="1" customWidth="1"/>
    <col min="11016" max="11016" width="45.140625" style="1" customWidth="1"/>
    <col min="11017" max="11017" width="13.140625" style="1" customWidth="1"/>
    <col min="11018" max="11018" width="10.28515625" style="1" bestFit="1" customWidth="1"/>
    <col min="11019" max="11019" width="16.28515625" style="1" bestFit="1" customWidth="1"/>
    <col min="11020" max="11020" width="11.28515625" style="1" bestFit="1" customWidth="1"/>
    <col min="11021" max="11253" width="9.140625" style="1"/>
    <col min="11254" max="11254" width="5.140625" style="1" customWidth="1"/>
    <col min="11255" max="11255" width="33.5703125" style="1" customWidth="1"/>
    <col min="11256" max="11256" width="25.85546875" style="1" customWidth="1"/>
    <col min="11257" max="11257" width="0" style="1" hidden="1" customWidth="1"/>
    <col min="11258" max="11258" width="14.85546875" style="1" customWidth="1"/>
    <col min="11259" max="11259" width="13.85546875" style="1" customWidth="1"/>
    <col min="11260" max="11260" width="12.140625" style="1" customWidth="1"/>
    <col min="11261" max="11261" width="13.7109375" style="1" customWidth="1"/>
    <col min="11262" max="11262" width="8.5703125" style="1" customWidth="1"/>
    <col min="11263" max="11263" width="13" style="1" customWidth="1"/>
    <col min="11264" max="11264" width="9" style="1" customWidth="1"/>
    <col min="11265" max="11265" width="6.7109375" style="1" customWidth="1"/>
    <col min="11266" max="11266" width="9" style="1" customWidth="1"/>
    <col min="11267" max="11267" width="6.85546875" style="1" customWidth="1"/>
    <col min="11268" max="11268" width="10.5703125" style="1" customWidth="1"/>
    <col min="11269" max="11269" width="12.28515625" style="1" customWidth="1"/>
    <col min="11270" max="11270" width="12.5703125" style="1" customWidth="1"/>
    <col min="11271" max="11271" width="1.5703125" style="1" customWidth="1"/>
    <col min="11272" max="11272" width="45.140625" style="1" customWidth="1"/>
    <col min="11273" max="11273" width="13.140625" style="1" customWidth="1"/>
    <col min="11274" max="11274" width="10.28515625" style="1" bestFit="1" customWidth="1"/>
    <col min="11275" max="11275" width="16.28515625" style="1" bestFit="1" customWidth="1"/>
    <col min="11276" max="11276" width="11.28515625" style="1" bestFit="1" customWidth="1"/>
    <col min="11277" max="11509" width="9.140625" style="1"/>
    <col min="11510" max="11510" width="5.140625" style="1" customWidth="1"/>
    <col min="11511" max="11511" width="33.5703125" style="1" customWidth="1"/>
    <col min="11512" max="11512" width="25.85546875" style="1" customWidth="1"/>
    <col min="11513" max="11513" width="0" style="1" hidden="1" customWidth="1"/>
    <col min="11514" max="11514" width="14.85546875" style="1" customWidth="1"/>
    <col min="11515" max="11515" width="13.85546875" style="1" customWidth="1"/>
    <col min="11516" max="11516" width="12.140625" style="1" customWidth="1"/>
    <col min="11517" max="11517" width="13.7109375" style="1" customWidth="1"/>
    <col min="11518" max="11518" width="8.5703125" style="1" customWidth="1"/>
    <col min="11519" max="11519" width="13" style="1" customWidth="1"/>
    <col min="11520" max="11520" width="9" style="1" customWidth="1"/>
    <col min="11521" max="11521" width="6.7109375" style="1" customWidth="1"/>
    <col min="11522" max="11522" width="9" style="1" customWidth="1"/>
    <col min="11523" max="11523" width="6.85546875" style="1" customWidth="1"/>
    <col min="11524" max="11524" width="10.5703125" style="1" customWidth="1"/>
    <col min="11525" max="11525" width="12.28515625" style="1" customWidth="1"/>
    <col min="11526" max="11526" width="12.5703125" style="1" customWidth="1"/>
    <col min="11527" max="11527" width="1.5703125" style="1" customWidth="1"/>
    <col min="11528" max="11528" width="45.140625" style="1" customWidth="1"/>
    <col min="11529" max="11529" width="13.140625" style="1" customWidth="1"/>
    <col min="11530" max="11530" width="10.28515625" style="1" bestFit="1" customWidth="1"/>
    <col min="11531" max="11531" width="16.28515625" style="1" bestFit="1" customWidth="1"/>
    <col min="11532" max="11532" width="11.28515625" style="1" bestFit="1" customWidth="1"/>
    <col min="11533" max="11765" width="9.140625" style="1"/>
    <col min="11766" max="11766" width="5.140625" style="1" customWidth="1"/>
    <col min="11767" max="11767" width="33.5703125" style="1" customWidth="1"/>
    <col min="11768" max="11768" width="25.85546875" style="1" customWidth="1"/>
    <col min="11769" max="11769" width="0" style="1" hidden="1" customWidth="1"/>
    <col min="11770" max="11770" width="14.85546875" style="1" customWidth="1"/>
    <col min="11771" max="11771" width="13.85546875" style="1" customWidth="1"/>
    <col min="11772" max="11772" width="12.140625" style="1" customWidth="1"/>
    <col min="11773" max="11773" width="13.7109375" style="1" customWidth="1"/>
    <col min="11774" max="11774" width="8.5703125" style="1" customWidth="1"/>
    <col min="11775" max="11775" width="13" style="1" customWidth="1"/>
    <col min="11776" max="11776" width="9" style="1" customWidth="1"/>
    <col min="11777" max="11777" width="6.7109375" style="1" customWidth="1"/>
    <col min="11778" max="11778" width="9" style="1" customWidth="1"/>
    <col min="11779" max="11779" width="6.85546875" style="1" customWidth="1"/>
    <col min="11780" max="11780" width="10.5703125" style="1" customWidth="1"/>
    <col min="11781" max="11781" width="12.28515625" style="1" customWidth="1"/>
    <col min="11782" max="11782" width="12.5703125" style="1" customWidth="1"/>
    <col min="11783" max="11783" width="1.5703125" style="1" customWidth="1"/>
    <col min="11784" max="11784" width="45.140625" style="1" customWidth="1"/>
    <col min="11785" max="11785" width="13.140625" style="1" customWidth="1"/>
    <col min="11786" max="11786" width="10.28515625" style="1" bestFit="1" customWidth="1"/>
    <col min="11787" max="11787" width="16.28515625" style="1" bestFit="1" customWidth="1"/>
    <col min="11788" max="11788" width="11.28515625" style="1" bestFit="1" customWidth="1"/>
    <col min="11789" max="12021" width="9.140625" style="1"/>
    <col min="12022" max="12022" width="5.140625" style="1" customWidth="1"/>
    <col min="12023" max="12023" width="33.5703125" style="1" customWidth="1"/>
    <col min="12024" max="12024" width="25.85546875" style="1" customWidth="1"/>
    <col min="12025" max="12025" width="0" style="1" hidden="1" customWidth="1"/>
    <col min="12026" max="12026" width="14.85546875" style="1" customWidth="1"/>
    <col min="12027" max="12027" width="13.85546875" style="1" customWidth="1"/>
    <col min="12028" max="12028" width="12.140625" style="1" customWidth="1"/>
    <col min="12029" max="12029" width="13.7109375" style="1" customWidth="1"/>
    <col min="12030" max="12030" width="8.5703125" style="1" customWidth="1"/>
    <col min="12031" max="12031" width="13" style="1" customWidth="1"/>
    <col min="12032" max="12032" width="9" style="1" customWidth="1"/>
    <col min="12033" max="12033" width="6.7109375" style="1" customWidth="1"/>
    <col min="12034" max="12034" width="9" style="1" customWidth="1"/>
    <col min="12035" max="12035" width="6.85546875" style="1" customWidth="1"/>
    <col min="12036" max="12036" width="10.5703125" style="1" customWidth="1"/>
    <col min="12037" max="12037" width="12.28515625" style="1" customWidth="1"/>
    <col min="12038" max="12038" width="12.5703125" style="1" customWidth="1"/>
    <col min="12039" max="12039" width="1.5703125" style="1" customWidth="1"/>
    <col min="12040" max="12040" width="45.140625" style="1" customWidth="1"/>
    <col min="12041" max="12041" width="13.140625" style="1" customWidth="1"/>
    <col min="12042" max="12042" width="10.28515625" style="1" bestFit="1" customWidth="1"/>
    <col min="12043" max="12043" width="16.28515625" style="1" bestFit="1" customWidth="1"/>
    <col min="12044" max="12044" width="11.28515625" style="1" bestFit="1" customWidth="1"/>
    <col min="12045" max="12277" width="9.140625" style="1"/>
    <col min="12278" max="12278" width="5.140625" style="1" customWidth="1"/>
    <col min="12279" max="12279" width="33.5703125" style="1" customWidth="1"/>
    <col min="12280" max="12280" width="25.85546875" style="1" customWidth="1"/>
    <col min="12281" max="12281" width="0" style="1" hidden="1" customWidth="1"/>
    <col min="12282" max="12282" width="14.85546875" style="1" customWidth="1"/>
    <col min="12283" max="12283" width="13.85546875" style="1" customWidth="1"/>
    <col min="12284" max="12284" width="12.140625" style="1" customWidth="1"/>
    <col min="12285" max="12285" width="13.7109375" style="1" customWidth="1"/>
    <col min="12286" max="12286" width="8.5703125" style="1" customWidth="1"/>
    <col min="12287" max="12287" width="13" style="1" customWidth="1"/>
    <col min="12288" max="12288" width="9" style="1" customWidth="1"/>
    <col min="12289" max="12289" width="6.7109375" style="1" customWidth="1"/>
    <col min="12290" max="12290" width="9" style="1" customWidth="1"/>
    <col min="12291" max="12291" width="6.85546875" style="1" customWidth="1"/>
    <col min="12292" max="12292" width="10.5703125" style="1" customWidth="1"/>
    <col min="12293" max="12293" width="12.28515625" style="1" customWidth="1"/>
    <col min="12294" max="12294" width="12.5703125" style="1" customWidth="1"/>
    <col min="12295" max="12295" width="1.5703125" style="1" customWidth="1"/>
    <col min="12296" max="12296" width="45.140625" style="1" customWidth="1"/>
    <col min="12297" max="12297" width="13.140625" style="1" customWidth="1"/>
    <col min="12298" max="12298" width="10.28515625" style="1" bestFit="1" customWidth="1"/>
    <col min="12299" max="12299" width="16.28515625" style="1" bestFit="1" customWidth="1"/>
    <col min="12300" max="12300" width="11.28515625" style="1" bestFit="1" customWidth="1"/>
    <col min="12301" max="12533" width="9.140625" style="1"/>
    <col min="12534" max="12534" width="5.140625" style="1" customWidth="1"/>
    <col min="12535" max="12535" width="33.5703125" style="1" customWidth="1"/>
    <col min="12536" max="12536" width="25.85546875" style="1" customWidth="1"/>
    <col min="12537" max="12537" width="0" style="1" hidden="1" customWidth="1"/>
    <col min="12538" max="12538" width="14.85546875" style="1" customWidth="1"/>
    <col min="12539" max="12539" width="13.85546875" style="1" customWidth="1"/>
    <col min="12540" max="12540" width="12.140625" style="1" customWidth="1"/>
    <col min="12541" max="12541" width="13.7109375" style="1" customWidth="1"/>
    <col min="12542" max="12542" width="8.5703125" style="1" customWidth="1"/>
    <col min="12543" max="12543" width="13" style="1" customWidth="1"/>
    <col min="12544" max="12544" width="9" style="1" customWidth="1"/>
    <col min="12545" max="12545" width="6.7109375" style="1" customWidth="1"/>
    <col min="12546" max="12546" width="9" style="1" customWidth="1"/>
    <col min="12547" max="12547" width="6.85546875" style="1" customWidth="1"/>
    <col min="12548" max="12548" width="10.5703125" style="1" customWidth="1"/>
    <col min="12549" max="12549" width="12.28515625" style="1" customWidth="1"/>
    <col min="12550" max="12550" width="12.5703125" style="1" customWidth="1"/>
    <col min="12551" max="12551" width="1.5703125" style="1" customWidth="1"/>
    <col min="12552" max="12552" width="45.140625" style="1" customWidth="1"/>
    <col min="12553" max="12553" width="13.140625" style="1" customWidth="1"/>
    <col min="12554" max="12554" width="10.28515625" style="1" bestFit="1" customWidth="1"/>
    <col min="12555" max="12555" width="16.28515625" style="1" bestFit="1" customWidth="1"/>
    <col min="12556" max="12556" width="11.28515625" style="1" bestFit="1" customWidth="1"/>
    <col min="12557" max="12789" width="9.140625" style="1"/>
    <col min="12790" max="12790" width="5.140625" style="1" customWidth="1"/>
    <col min="12791" max="12791" width="33.5703125" style="1" customWidth="1"/>
    <col min="12792" max="12792" width="25.85546875" style="1" customWidth="1"/>
    <col min="12793" max="12793" width="0" style="1" hidden="1" customWidth="1"/>
    <col min="12794" max="12794" width="14.85546875" style="1" customWidth="1"/>
    <col min="12795" max="12795" width="13.85546875" style="1" customWidth="1"/>
    <col min="12796" max="12796" width="12.140625" style="1" customWidth="1"/>
    <col min="12797" max="12797" width="13.7109375" style="1" customWidth="1"/>
    <col min="12798" max="12798" width="8.5703125" style="1" customWidth="1"/>
    <col min="12799" max="12799" width="13" style="1" customWidth="1"/>
    <col min="12800" max="12800" width="9" style="1" customWidth="1"/>
    <col min="12801" max="12801" width="6.7109375" style="1" customWidth="1"/>
    <col min="12802" max="12802" width="9" style="1" customWidth="1"/>
    <col min="12803" max="12803" width="6.85546875" style="1" customWidth="1"/>
    <col min="12804" max="12804" width="10.5703125" style="1" customWidth="1"/>
    <col min="12805" max="12805" width="12.28515625" style="1" customWidth="1"/>
    <col min="12806" max="12806" width="12.5703125" style="1" customWidth="1"/>
    <col min="12807" max="12807" width="1.5703125" style="1" customWidth="1"/>
    <col min="12808" max="12808" width="45.140625" style="1" customWidth="1"/>
    <col min="12809" max="12809" width="13.140625" style="1" customWidth="1"/>
    <col min="12810" max="12810" width="10.28515625" style="1" bestFit="1" customWidth="1"/>
    <col min="12811" max="12811" width="16.28515625" style="1" bestFit="1" customWidth="1"/>
    <col min="12812" max="12812" width="11.28515625" style="1" bestFit="1" customWidth="1"/>
    <col min="12813" max="13045" width="9.140625" style="1"/>
    <col min="13046" max="13046" width="5.140625" style="1" customWidth="1"/>
    <col min="13047" max="13047" width="33.5703125" style="1" customWidth="1"/>
    <col min="13048" max="13048" width="25.85546875" style="1" customWidth="1"/>
    <col min="13049" max="13049" width="0" style="1" hidden="1" customWidth="1"/>
    <col min="13050" max="13050" width="14.85546875" style="1" customWidth="1"/>
    <col min="13051" max="13051" width="13.85546875" style="1" customWidth="1"/>
    <col min="13052" max="13052" width="12.140625" style="1" customWidth="1"/>
    <col min="13053" max="13053" width="13.7109375" style="1" customWidth="1"/>
    <col min="13054" max="13054" width="8.5703125" style="1" customWidth="1"/>
    <col min="13055" max="13055" width="13" style="1" customWidth="1"/>
    <col min="13056" max="13056" width="9" style="1" customWidth="1"/>
    <col min="13057" max="13057" width="6.7109375" style="1" customWidth="1"/>
    <col min="13058" max="13058" width="9" style="1" customWidth="1"/>
    <col min="13059" max="13059" width="6.85546875" style="1" customWidth="1"/>
    <col min="13060" max="13060" width="10.5703125" style="1" customWidth="1"/>
    <col min="13061" max="13061" width="12.28515625" style="1" customWidth="1"/>
    <col min="13062" max="13062" width="12.5703125" style="1" customWidth="1"/>
    <col min="13063" max="13063" width="1.5703125" style="1" customWidth="1"/>
    <col min="13064" max="13064" width="45.140625" style="1" customWidth="1"/>
    <col min="13065" max="13065" width="13.140625" style="1" customWidth="1"/>
    <col min="13066" max="13066" width="10.28515625" style="1" bestFit="1" customWidth="1"/>
    <col min="13067" max="13067" width="16.28515625" style="1" bestFit="1" customWidth="1"/>
    <col min="13068" max="13068" width="11.28515625" style="1" bestFit="1" customWidth="1"/>
    <col min="13069" max="13301" width="9.140625" style="1"/>
    <col min="13302" max="13302" width="5.140625" style="1" customWidth="1"/>
    <col min="13303" max="13303" width="33.5703125" style="1" customWidth="1"/>
    <col min="13304" max="13304" width="25.85546875" style="1" customWidth="1"/>
    <col min="13305" max="13305" width="0" style="1" hidden="1" customWidth="1"/>
    <col min="13306" max="13306" width="14.85546875" style="1" customWidth="1"/>
    <col min="13307" max="13307" width="13.85546875" style="1" customWidth="1"/>
    <col min="13308" max="13308" width="12.140625" style="1" customWidth="1"/>
    <col min="13309" max="13309" width="13.7109375" style="1" customWidth="1"/>
    <col min="13310" max="13310" width="8.5703125" style="1" customWidth="1"/>
    <col min="13311" max="13311" width="13" style="1" customWidth="1"/>
    <col min="13312" max="13312" width="9" style="1" customWidth="1"/>
    <col min="13313" max="13313" width="6.7109375" style="1" customWidth="1"/>
    <col min="13314" max="13314" width="9" style="1" customWidth="1"/>
    <col min="13315" max="13315" width="6.85546875" style="1" customWidth="1"/>
    <col min="13316" max="13316" width="10.5703125" style="1" customWidth="1"/>
    <col min="13317" max="13317" width="12.28515625" style="1" customWidth="1"/>
    <col min="13318" max="13318" width="12.5703125" style="1" customWidth="1"/>
    <col min="13319" max="13319" width="1.5703125" style="1" customWidth="1"/>
    <col min="13320" max="13320" width="45.140625" style="1" customWidth="1"/>
    <col min="13321" max="13321" width="13.140625" style="1" customWidth="1"/>
    <col min="13322" max="13322" width="10.28515625" style="1" bestFit="1" customWidth="1"/>
    <col min="13323" max="13323" width="16.28515625" style="1" bestFit="1" customWidth="1"/>
    <col min="13324" max="13324" width="11.28515625" style="1" bestFit="1" customWidth="1"/>
    <col min="13325" max="13557" width="9.140625" style="1"/>
    <col min="13558" max="13558" width="5.140625" style="1" customWidth="1"/>
    <col min="13559" max="13559" width="33.5703125" style="1" customWidth="1"/>
    <col min="13560" max="13560" width="25.85546875" style="1" customWidth="1"/>
    <col min="13561" max="13561" width="0" style="1" hidden="1" customWidth="1"/>
    <col min="13562" max="13562" width="14.85546875" style="1" customWidth="1"/>
    <col min="13563" max="13563" width="13.85546875" style="1" customWidth="1"/>
    <col min="13564" max="13564" width="12.140625" style="1" customWidth="1"/>
    <col min="13565" max="13565" width="13.7109375" style="1" customWidth="1"/>
    <col min="13566" max="13566" width="8.5703125" style="1" customWidth="1"/>
    <col min="13567" max="13567" width="13" style="1" customWidth="1"/>
    <col min="13568" max="13568" width="9" style="1" customWidth="1"/>
    <col min="13569" max="13569" width="6.7109375" style="1" customWidth="1"/>
    <col min="13570" max="13570" width="9" style="1" customWidth="1"/>
    <col min="13571" max="13571" width="6.85546875" style="1" customWidth="1"/>
    <col min="13572" max="13572" width="10.5703125" style="1" customWidth="1"/>
    <col min="13573" max="13573" width="12.28515625" style="1" customWidth="1"/>
    <col min="13574" max="13574" width="12.5703125" style="1" customWidth="1"/>
    <col min="13575" max="13575" width="1.5703125" style="1" customWidth="1"/>
    <col min="13576" max="13576" width="45.140625" style="1" customWidth="1"/>
    <col min="13577" max="13577" width="13.140625" style="1" customWidth="1"/>
    <col min="13578" max="13578" width="10.28515625" style="1" bestFit="1" customWidth="1"/>
    <col min="13579" max="13579" width="16.28515625" style="1" bestFit="1" customWidth="1"/>
    <col min="13580" max="13580" width="11.28515625" style="1" bestFit="1" customWidth="1"/>
    <col min="13581" max="13813" width="9.140625" style="1"/>
    <col min="13814" max="13814" width="5.140625" style="1" customWidth="1"/>
    <col min="13815" max="13815" width="33.5703125" style="1" customWidth="1"/>
    <col min="13816" max="13816" width="25.85546875" style="1" customWidth="1"/>
    <col min="13817" max="13817" width="0" style="1" hidden="1" customWidth="1"/>
    <col min="13818" max="13818" width="14.85546875" style="1" customWidth="1"/>
    <col min="13819" max="13819" width="13.85546875" style="1" customWidth="1"/>
    <col min="13820" max="13820" width="12.140625" style="1" customWidth="1"/>
    <col min="13821" max="13821" width="13.7109375" style="1" customWidth="1"/>
    <col min="13822" max="13822" width="8.5703125" style="1" customWidth="1"/>
    <col min="13823" max="13823" width="13" style="1" customWidth="1"/>
    <col min="13824" max="13824" width="9" style="1" customWidth="1"/>
    <col min="13825" max="13825" width="6.7109375" style="1" customWidth="1"/>
    <col min="13826" max="13826" width="9" style="1" customWidth="1"/>
    <col min="13827" max="13827" width="6.85546875" style="1" customWidth="1"/>
    <col min="13828" max="13828" width="10.5703125" style="1" customWidth="1"/>
    <col min="13829" max="13829" width="12.28515625" style="1" customWidth="1"/>
    <col min="13830" max="13830" width="12.5703125" style="1" customWidth="1"/>
    <col min="13831" max="13831" width="1.5703125" style="1" customWidth="1"/>
    <col min="13832" max="13832" width="45.140625" style="1" customWidth="1"/>
    <col min="13833" max="13833" width="13.140625" style="1" customWidth="1"/>
    <col min="13834" max="13834" width="10.28515625" style="1" bestFit="1" customWidth="1"/>
    <col min="13835" max="13835" width="16.28515625" style="1" bestFit="1" customWidth="1"/>
    <col min="13836" max="13836" width="11.28515625" style="1" bestFit="1" customWidth="1"/>
    <col min="13837" max="14069" width="9.140625" style="1"/>
    <col min="14070" max="14070" width="5.140625" style="1" customWidth="1"/>
    <col min="14071" max="14071" width="33.5703125" style="1" customWidth="1"/>
    <col min="14072" max="14072" width="25.85546875" style="1" customWidth="1"/>
    <col min="14073" max="14073" width="0" style="1" hidden="1" customWidth="1"/>
    <col min="14074" max="14074" width="14.85546875" style="1" customWidth="1"/>
    <col min="14075" max="14075" width="13.85546875" style="1" customWidth="1"/>
    <col min="14076" max="14076" width="12.140625" style="1" customWidth="1"/>
    <col min="14077" max="14077" width="13.7109375" style="1" customWidth="1"/>
    <col min="14078" max="14078" width="8.5703125" style="1" customWidth="1"/>
    <col min="14079" max="14079" width="13" style="1" customWidth="1"/>
    <col min="14080" max="14080" width="9" style="1" customWidth="1"/>
    <col min="14081" max="14081" width="6.7109375" style="1" customWidth="1"/>
    <col min="14082" max="14082" width="9" style="1" customWidth="1"/>
    <col min="14083" max="14083" width="6.85546875" style="1" customWidth="1"/>
    <col min="14084" max="14084" width="10.5703125" style="1" customWidth="1"/>
    <col min="14085" max="14085" width="12.28515625" style="1" customWidth="1"/>
    <col min="14086" max="14086" width="12.5703125" style="1" customWidth="1"/>
    <col min="14087" max="14087" width="1.5703125" style="1" customWidth="1"/>
    <col min="14088" max="14088" width="45.140625" style="1" customWidth="1"/>
    <col min="14089" max="14089" width="13.140625" style="1" customWidth="1"/>
    <col min="14090" max="14090" width="10.28515625" style="1" bestFit="1" customWidth="1"/>
    <col min="14091" max="14091" width="16.28515625" style="1" bestFit="1" customWidth="1"/>
    <col min="14092" max="14092" width="11.28515625" style="1" bestFit="1" customWidth="1"/>
    <col min="14093" max="14325" width="9.140625" style="1"/>
    <col min="14326" max="14326" width="5.140625" style="1" customWidth="1"/>
    <col min="14327" max="14327" width="33.5703125" style="1" customWidth="1"/>
    <col min="14328" max="14328" width="25.85546875" style="1" customWidth="1"/>
    <col min="14329" max="14329" width="0" style="1" hidden="1" customWidth="1"/>
    <col min="14330" max="14330" width="14.85546875" style="1" customWidth="1"/>
    <col min="14331" max="14331" width="13.85546875" style="1" customWidth="1"/>
    <col min="14332" max="14332" width="12.140625" style="1" customWidth="1"/>
    <col min="14333" max="14333" width="13.7109375" style="1" customWidth="1"/>
    <col min="14334" max="14334" width="8.5703125" style="1" customWidth="1"/>
    <col min="14335" max="14335" width="13" style="1" customWidth="1"/>
    <col min="14336" max="14336" width="9" style="1" customWidth="1"/>
    <col min="14337" max="14337" width="6.7109375" style="1" customWidth="1"/>
    <col min="14338" max="14338" width="9" style="1" customWidth="1"/>
    <col min="14339" max="14339" width="6.85546875" style="1" customWidth="1"/>
    <col min="14340" max="14340" width="10.5703125" style="1" customWidth="1"/>
    <col min="14341" max="14341" width="12.28515625" style="1" customWidth="1"/>
    <col min="14342" max="14342" width="12.5703125" style="1" customWidth="1"/>
    <col min="14343" max="14343" width="1.5703125" style="1" customWidth="1"/>
    <col min="14344" max="14344" width="45.140625" style="1" customWidth="1"/>
    <col min="14345" max="14345" width="13.140625" style="1" customWidth="1"/>
    <col min="14346" max="14346" width="10.28515625" style="1" bestFit="1" customWidth="1"/>
    <col min="14347" max="14347" width="16.28515625" style="1" bestFit="1" customWidth="1"/>
    <col min="14348" max="14348" width="11.28515625" style="1" bestFit="1" customWidth="1"/>
    <col min="14349" max="14581" width="9.140625" style="1"/>
    <col min="14582" max="14582" width="5.140625" style="1" customWidth="1"/>
    <col min="14583" max="14583" width="33.5703125" style="1" customWidth="1"/>
    <col min="14584" max="14584" width="25.85546875" style="1" customWidth="1"/>
    <col min="14585" max="14585" width="0" style="1" hidden="1" customWidth="1"/>
    <col min="14586" max="14586" width="14.85546875" style="1" customWidth="1"/>
    <col min="14587" max="14587" width="13.85546875" style="1" customWidth="1"/>
    <col min="14588" max="14588" width="12.140625" style="1" customWidth="1"/>
    <col min="14589" max="14589" width="13.7109375" style="1" customWidth="1"/>
    <col min="14590" max="14590" width="8.5703125" style="1" customWidth="1"/>
    <col min="14591" max="14591" width="13" style="1" customWidth="1"/>
    <col min="14592" max="14592" width="9" style="1" customWidth="1"/>
    <col min="14593" max="14593" width="6.7109375" style="1" customWidth="1"/>
    <col min="14594" max="14594" width="9" style="1" customWidth="1"/>
    <col min="14595" max="14595" width="6.85546875" style="1" customWidth="1"/>
    <col min="14596" max="14596" width="10.5703125" style="1" customWidth="1"/>
    <col min="14597" max="14597" width="12.28515625" style="1" customWidth="1"/>
    <col min="14598" max="14598" width="12.5703125" style="1" customWidth="1"/>
    <col min="14599" max="14599" width="1.5703125" style="1" customWidth="1"/>
    <col min="14600" max="14600" width="45.140625" style="1" customWidth="1"/>
    <col min="14601" max="14601" width="13.140625" style="1" customWidth="1"/>
    <col min="14602" max="14602" width="10.28515625" style="1" bestFit="1" customWidth="1"/>
    <col min="14603" max="14603" width="16.28515625" style="1" bestFit="1" customWidth="1"/>
    <col min="14604" max="14604" width="11.28515625" style="1" bestFit="1" customWidth="1"/>
    <col min="14605" max="14837" width="9.140625" style="1"/>
    <col min="14838" max="14838" width="5.140625" style="1" customWidth="1"/>
    <col min="14839" max="14839" width="33.5703125" style="1" customWidth="1"/>
    <col min="14840" max="14840" width="25.85546875" style="1" customWidth="1"/>
    <col min="14841" max="14841" width="0" style="1" hidden="1" customWidth="1"/>
    <col min="14842" max="14842" width="14.85546875" style="1" customWidth="1"/>
    <col min="14843" max="14843" width="13.85546875" style="1" customWidth="1"/>
    <col min="14844" max="14844" width="12.140625" style="1" customWidth="1"/>
    <col min="14845" max="14845" width="13.7109375" style="1" customWidth="1"/>
    <col min="14846" max="14846" width="8.5703125" style="1" customWidth="1"/>
    <col min="14847" max="14847" width="13" style="1" customWidth="1"/>
    <col min="14848" max="14848" width="9" style="1" customWidth="1"/>
    <col min="14849" max="14849" width="6.7109375" style="1" customWidth="1"/>
    <col min="14850" max="14850" width="9" style="1" customWidth="1"/>
    <col min="14851" max="14851" width="6.85546875" style="1" customWidth="1"/>
    <col min="14852" max="14852" width="10.5703125" style="1" customWidth="1"/>
    <col min="14853" max="14853" width="12.28515625" style="1" customWidth="1"/>
    <col min="14854" max="14854" width="12.5703125" style="1" customWidth="1"/>
    <col min="14855" max="14855" width="1.5703125" style="1" customWidth="1"/>
    <col min="14856" max="14856" width="45.140625" style="1" customWidth="1"/>
    <col min="14857" max="14857" width="13.140625" style="1" customWidth="1"/>
    <col min="14858" max="14858" width="10.28515625" style="1" bestFit="1" customWidth="1"/>
    <col min="14859" max="14859" width="16.28515625" style="1" bestFit="1" customWidth="1"/>
    <col min="14860" max="14860" width="11.28515625" style="1" bestFit="1" customWidth="1"/>
    <col min="14861" max="15093" width="9.140625" style="1"/>
    <col min="15094" max="15094" width="5.140625" style="1" customWidth="1"/>
    <col min="15095" max="15095" width="33.5703125" style="1" customWidth="1"/>
    <col min="15096" max="15096" width="25.85546875" style="1" customWidth="1"/>
    <col min="15097" max="15097" width="0" style="1" hidden="1" customWidth="1"/>
    <col min="15098" max="15098" width="14.85546875" style="1" customWidth="1"/>
    <col min="15099" max="15099" width="13.85546875" style="1" customWidth="1"/>
    <col min="15100" max="15100" width="12.140625" style="1" customWidth="1"/>
    <col min="15101" max="15101" width="13.7109375" style="1" customWidth="1"/>
    <col min="15102" max="15102" width="8.5703125" style="1" customWidth="1"/>
    <col min="15103" max="15103" width="13" style="1" customWidth="1"/>
    <col min="15104" max="15104" width="9" style="1" customWidth="1"/>
    <col min="15105" max="15105" width="6.7109375" style="1" customWidth="1"/>
    <col min="15106" max="15106" width="9" style="1" customWidth="1"/>
    <col min="15107" max="15107" width="6.85546875" style="1" customWidth="1"/>
    <col min="15108" max="15108" width="10.5703125" style="1" customWidth="1"/>
    <col min="15109" max="15109" width="12.28515625" style="1" customWidth="1"/>
    <col min="15110" max="15110" width="12.5703125" style="1" customWidth="1"/>
    <col min="15111" max="15111" width="1.5703125" style="1" customWidth="1"/>
    <col min="15112" max="15112" width="45.140625" style="1" customWidth="1"/>
    <col min="15113" max="15113" width="13.140625" style="1" customWidth="1"/>
    <col min="15114" max="15114" width="10.28515625" style="1" bestFit="1" customWidth="1"/>
    <col min="15115" max="15115" width="16.28515625" style="1" bestFit="1" customWidth="1"/>
    <col min="15116" max="15116" width="11.28515625" style="1" bestFit="1" customWidth="1"/>
    <col min="15117" max="15349" width="9.140625" style="1"/>
    <col min="15350" max="15350" width="5.140625" style="1" customWidth="1"/>
    <col min="15351" max="15351" width="33.5703125" style="1" customWidth="1"/>
    <col min="15352" max="15352" width="25.85546875" style="1" customWidth="1"/>
    <col min="15353" max="15353" width="0" style="1" hidden="1" customWidth="1"/>
    <col min="15354" max="15354" width="14.85546875" style="1" customWidth="1"/>
    <col min="15355" max="15355" width="13.85546875" style="1" customWidth="1"/>
    <col min="15356" max="15356" width="12.140625" style="1" customWidth="1"/>
    <col min="15357" max="15357" width="13.7109375" style="1" customWidth="1"/>
    <col min="15358" max="15358" width="8.5703125" style="1" customWidth="1"/>
    <col min="15359" max="15359" width="13" style="1" customWidth="1"/>
    <col min="15360" max="15360" width="9" style="1" customWidth="1"/>
    <col min="15361" max="15361" width="6.7109375" style="1" customWidth="1"/>
    <col min="15362" max="15362" width="9" style="1" customWidth="1"/>
    <col min="15363" max="15363" width="6.85546875" style="1" customWidth="1"/>
    <col min="15364" max="15364" width="10.5703125" style="1" customWidth="1"/>
    <col min="15365" max="15365" width="12.28515625" style="1" customWidth="1"/>
    <col min="15366" max="15366" width="12.5703125" style="1" customWidth="1"/>
    <col min="15367" max="15367" width="1.5703125" style="1" customWidth="1"/>
    <col min="15368" max="15368" width="45.140625" style="1" customWidth="1"/>
    <col min="15369" max="15369" width="13.140625" style="1" customWidth="1"/>
    <col min="15370" max="15370" width="10.28515625" style="1" bestFit="1" customWidth="1"/>
    <col min="15371" max="15371" width="16.28515625" style="1" bestFit="1" customWidth="1"/>
    <col min="15372" max="15372" width="11.28515625" style="1" bestFit="1" customWidth="1"/>
    <col min="15373" max="15605" width="9.140625" style="1"/>
    <col min="15606" max="15606" width="5.140625" style="1" customWidth="1"/>
    <col min="15607" max="15607" width="33.5703125" style="1" customWidth="1"/>
    <col min="15608" max="15608" width="25.85546875" style="1" customWidth="1"/>
    <col min="15609" max="15609" width="0" style="1" hidden="1" customWidth="1"/>
    <col min="15610" max="15610" width="14.85546875" style="1" customWidth="1"/>
    <col min="15611" max="15611" width="13.85546875" style="1" customWidth="1"/>
    <col min="15612" max="15612" width="12.140625" style="1" customWidth="1"/>
    <col min="15613" max="15613" width="13.7109375" style="1" customWidth="1"/>
    <col min="15614" max="15614" width="8.5703125" style="1" customWidth="1"/>
    <col min="15615" max="15615" width="13" style="1" customWidth="1"/>
    <col min="15616" max="15616" width="9" style="1" customWidth="1"/>
    <col min="15617" max="15617" width="6.7109375" style="1" customWidth="1"/>
    <col min="15618" max="15618" width="9" style="1" customWidth="1"/>
    <col min="15619" max="15619" width="6.85546875" style="1" customWidth="1"/>
    <col min="15620" max="15620" width="10.5703125" style="1" customWidth="1"/>
    <col min="15621" max="15621" width="12.28515625" style="1" customWidth="1"/>
    <col min="15622" max="15622" width="12.5703125" style="1" customWidth="1"/>
    <col min="15623" max="15623" width="1.5703125" style="1" customWidth="1"/>
    <col min="15624" max="15624" width="45.140625" style="1" customWidth="1"/>
    <col min="15625" max="15625" width="13.140625" style="1" customWidth="1"/>
    <col min="15626" max="15626" width="10.28515625" style="1" bestFit="1" customWidth="1"/>
    <col min="15627" max="15627" width="16.28515625" style="1" bestFit="1" customWidth="1"/>
    <col min="15628" max="15628" width="11.28515625" style="1" bestFit="1" customWidth="1"/>
    <col min="15629" max="15861" width="9.140625" style="1"/>
    <col min="15862" max="15862" width="5.140625" style="1" customWidth="1"/>
    <col min="15863" max="15863" width="33.5703125" style="1" customWidth="1"/>
    <col min="15864" max="15864" width="25.85546875" style="1" customWidth="1"/>
    <col min="15865" max="15865" width="0" style="1" hidden="1" customWidth="1"/>
    <col min="15866" max="15866" width="14.85546875" style="1" customWidth="1"/>
    <col min="15867" max="15867" width="13.85546875" style="1" customWidth="1"/>
    <col min="15868" max="15868" width="12.140625" style="1" customWidth="1"/>
    <col min="15869" max="15869" width="13.7109375" style="1" customWidth="1"/>
    <col min="15870" max="15870" width="8.5703125" style="1" customWidth="1"/>
    <col min="15871" max="15871" width="13" style="1" customWidth="1"/>
    <col min="15872" max="15872" width="9" style="1" customWidth="1"/>
    <col min="15873" max="15873" width="6.7109375" style="1" customWidth="1"/>
    <col min="15874" max="15874" width="9" style="1" customWidth="1"/>
    <col min="15875" max="15875" width="6.85546875" style="1" customWidth="1"/>
    <col min="15876" max="15876" width="10.5703125" style="1" customWidth="1"/>
    <col min="15877" max="15877" width="12.28515625" style="1" customWidth="1"/>
    <col min="15878" max="15878" width="12.5703125" style="1" customWidth="1"/>
    <col min="15879" max="15879" width="1.5703125" style="1" customWidth="1"/>
    <col min="15880" max="15880" width="45.140625" style="1" customWidth="1"/>
    <col min="15881" max="15881" width="13.140625" style="1" customWidth="1"/>
    <col min="15882" max="15882" width="10.28515625" style="1" bestFit="1" customWidth="1"/>
    <col min="15883" max="15883" width="16.28515625" style="1" bestFit="1" customWidth="1"/>
    <col min="15884" max="15884" width="11.28515625" style="1" bestFit="1" customWidth="1"/>
    <col min="15885" max="16117" width="9.140625" style="1"/>
    <col min="16118" max="16118" width="5.140625" style="1" customWidth="1"/>
    <col min="16119" max="16119" width="33.5703125" style="1" customWidth="1"/>
    <col min="16120" max="16120" width="25.85546875" style="1" customWidth="1"/>
    <col min="16121" max="16121" width="0" style="1" hidden="1" customWidth="1"/>
    <col min="16122" max="16122" width="14.85546875" style="1" customWidth="1"/>
    <col min="16123" max="16123" width="13.85546875" style="1" customWidth="1"/>
    <col min="16124" max="16124" width="12.140625" style="1" customWidth="1"/>
    <col min="16125" max="16125" width="13.7109375" style="1" customWidth="1"/>
    <col min="16126" max="16126" width="8.5703125" style="1" customWidth="1"/>
    <col min="16127" max="16127" width="13" style="1" customWidth="1"/>
    <col min="16128" max="16128" width="9" style="1" customWidth="1"/>
    <col min="16129" max="16129" width="6.7109375" style="1" customWidth="1"/>
    <col min="16130" max="16130" width="9" style="1" customWidth="1"/>
    <col min="16131" max="16131" width="6.85546875" style="1" customWidth="1"/>
    <col min="16132" max="16132" width="10.5703125" style="1" customWidth="1"/>
    <col min="16133" max="16133" width="12.28515625" style="1" customWidth="1"/>
    <col min="16134" max="16134" width="12.5703125" style="1" customWidth="1"/>
    <col min="16135" max="16135" width="1.5703125" style="1" customWidth="1"/>
    <col min="16136" max="16136" width="45.140625" style="1" customWidth="1"/>
    <col min="16137" max="16137" width="13.140625" style="1" customWidth="1"/>
    <col min="16138" max="16138" width="10.28515625" style="1" bestFit="1" customWidth="1"/>
    <col min="16139" max="16139" width="16.28515625" style="1" bestFit="1" customWidth="1"/>
    <col min="16140" max="16140" width="11.28515625" style="1" bestFit="1" customWidth="1"/>
    <col min="16141" max="16384" width="9.140625" style="1"/>
  </cols>
  <sheetData>
    <row r="1" spans="1:31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1" x14ac:dyDescent="0.25">
      <c r="A2" s="308" t="s">
        <v>100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</row>
    <row r="3" spans="1:31" s="12" customFormat="1" ht="63" x14ac:dyDescent="0.25">
      <c r="A3" s="214" t="s">
        <v>2</v>
      </c>
      <c r="B3" s="215" t="s">
        <v>3</v>
      </c>
      <c r="C3" s="216" t="s">
        <v>4</v>
      </c>
      <c r="D3" s="217" t="s">
        <v>5</v>
      </c>
      <c r="E3" s="218"/>
      <c r="F3" s="218"/>
      <c r="G3" s="218"/>
      <c r="H3" s="218"/>
      <c r="I3" s="218"/>
      <c r="J3" s="219" t="s">
        <v>6</v>
      </c>
      <c r="K3" s="219" t="s">
        <v>7</v>
      </c>
      <c r="L3" s="220"/>
      <c r="M3" s="220"/>
      <c r="N3" s="309" t="s">
        <v>8</v>
      </c>
      <c r="O3" s="309"/>
      <c r="P3" s="309"/>
      <c r="Q3" s="217" t="s">
        <v>9</v>
      </c>
      <c r="R3" s="217" t="s">
        <v>10</v>
      </c>
      <c r="S3" s="217"/>
      <c r="T3" s="217" t="s">
        <v>11</v>
      </c>
      <c r="U3" s="217" t="s">
        <v>1172</v>
      </c>
      <c r="V3" s="217" t="s">
        <v>6</v>
      </c>
      <c r="W3" s="221" t="s">
        <v>13</v>
      </c>
      <c r="X3" s="251" t="s">
        <v>1165</v>
      </c>
      <c r="Y3" s="222" t="s">
        <v>15</v>
      </c>
      <c r="Z3" s="217" t="s">
        <v>1140</v>
      </c>
      <c r="AA3" s="309" t="s">
        <v>17</v>
      </c>
      <c r="AB3" s="309"/>
      <c r="AC3" s="217" t="s">
        <v>1173</v>
      </c>
      <c r="AD3" s="216" t="s">
        <v>19</v>
      </c>
      <c r="AE3" s="216" t="s">
        <v>13</v>
      </c>
    </row>
    <row r="4" spans="1:31" ht="30" x14ac:dyDescent="0.25">
      <c r="A4" s="13" t="s">
        <v>20</v>
      </c>
      <c r="B4" s="94" t="s">
        <v>760</v>
      </c>
      <c r="C4" s="91" t="s">
        <v>1161</v>
      </c>
      <c r="D4" s="14"/>
      <c r="E4" s="16"/>
      <c r="F4" s="17"/>
      <c r="G4" s="17"/>
      <c r="H4" s="25"/>
      <c r="I4" s="18"/>
      <c r="J4" s="19"/>
      <c r="K4" s="19"/>
      <c r="L4" s="20"/>
      <c r="M4" s="20"/>
      <c r="N4" s="20"/>
      <c r="O4" s="20"/>
      <c r="P4" s="17"/>
      <c r="Q4" s="21"/>
      <c r="R4" s="22"/>
      <c r="S4" s="22"/>
      <c r="T4" s="86" t="s">
        <v>200</v>
      </c>
      <c r="U4" s="86">
        <v>4</v>
      </c>
      <c r="V4" s="45">
        <v>23000</v>
      </c>
      <c r="W4" s="23"/>
      <c r="X4" s="121">
        <v>14493</v>
      </c>
      <c r="Y4" s="253">
        <f>X4*3</f>
        <v>43479</v>
      </c>
      <c r="Z4" s="30"/>
      <c r="AA4" s="254">
        <v>22</v>
      </c>
      <c r="AB4" s="253">
        <f>X4/30*AA4</f>
        <v>10628.2</v>
      </c>
      <c r="AC4" s="255">
        <v>725</v>
      </c>
      <c r="AD4" s="256">
        <f>AB4+Y4+AC4</f>
        <v>54832.2</v>
      </c>
      <c r="AE4" s="22"/>
    </row>
    <row r="5" spans="1:31" x14ac:dyDescent="0.25">
      <c r="A5" s="13" t="s">
        <v>26</v>
      </c>
      <c r="B5" s="92" t="s">
        <v>814</v>
      </c>
      <c r="C5" s="86" t="s">
        <v>34</v>
      </c>
      <c r="D5" s="14"/>
      <c r="E5" s="16"/>
      <c r="F5" s="17"/>
      <c r="G5" s="17"/>
      <c r="H5" s="25"/>
      <c r="I5" s="18"/>
      <c r="J5" s="19"/>
      <c r="K5" s="19"/>
      <c r="L5" s="20"/>
      <c r="M5" s="20"/>
      <c r="N5" s="20"/>
      <c r="O5" s="20"/>
      <c r="P5" s="17"/>
      <c r="Q5" s="21"/>
      <c r="R5" s="22"/>
      <c r="S5" s="22"/>
      <c r="T5" s="86" t="s">
        <v>32</v>
      </c>
      <c r="U5" s="86">
        <v>2.9</v>
      </c>
      <c r="V5" s="45">
        <v>10000</v>
      </c>
      <c r="W5" s="23"/>
      <c r="X5" s="121">
        <f>V5*60%</f>
        <v>6000</v>
      </c>
      <c r="Y5" s="30"/>
      <c r="Z5" s="30"/>
      <c r="AA5" s="22">
        <v>19</v>
      </c>
      <c r="AB5" s="30">
        <f>X5/30*AA5</f>
        <v>3800</v>
      </c>
      <c r="AC5" s="21"/>
      <c r="AD5" s="31">
        <f>AB5+Y5+AC5</f>
        <v>3800</v>
      </c>
      <c r="AE5" s="22"/>
    </row>
    <row r="6" spans="1:31" x14ac:dyDescent="0.25">
      <c r="A6" s="13" t="s">
        <v>29</v>
      </c>
      <c r="B6" s="94" t="s">
        <v>1166</v>
      </c>
      <c r="C6" s="91" t="s">
        <v>1167</v>
      </c>
      <c r="D6" s="15"/>
      <c r="E6" s="16"/>
      <c r="F6" s="17"/>
      <c r="G6" s="17"/>
      <c r="H6" s="25"/>
      <c r="I6" s="18"/>
      <c r="J6" s="41"/>
      <c r="K6" s="19"/>
      <c r="L6" s="20"/>
      <c r="M6" s="20"/>
      <c r="N6" s="20"/>
      <c r="O6" s="20"/>
      <c r="P6" s="17"/>
      <c r="Q6" s="21"/>
      <c r="R6" s="22"/>
      <c r="S6" s="22"/>
      <c r="T6" s="91" t="s">
        <v>1168</v>
      </c>
      <c r="U6" s="91">
        <v>0.8</v>
      </c>
      <c r="V6" s="45">
        <v>13000</v>
      </c>
      <c r="W6" s="23"/>
      <c r="X6" s="121">
        <f>V6*60%</f>
        <v>7800</v>
      </c>
      <c r="Y6" s="30"/>
      <c r="Z6" s="68"/>
      <c r="AA6" s="247">
        <v>5</v>
      </c>
      <c r="AB6" s="30">
        <f>X6/30*AA6</f>
        <v>1300</v>
      </c>
      <c r="AC6" s="22">
        <v>390</v>
      </c>
      <c r="AD6" s="31">
        <f t="shared" ref="AD6:AD7" si="0">AB6+Y6+AC6</f>
        <v>1690</v>
      </c>
      <c r="AE6" s="22"/>
    </row>
    <row r="7" spans="1:31" x14ac:dyDescent="0.25">
      <c r="A7" s="13" t="s">
        <v>31</v>
      </c>
      <c r="B7" s="252" t="s">
        <v>1169</v>
      </c>
      <c r="C7" s="91" t="s">
        <v>1171</v>
      </c>
      <c r="D7" s="14"/>
      <c r="E7" s="16"/>
      <c r="F7" s="17"/>
      <c r="G7" s="17"/>
      <c r="H7" s="25"/>
      <c r="I7" s="18"/>
      <c r="J7" s="41"/>
      <c r="K7" s="19"/>
      <c r="L7" s="20"/>
      <c r="M7" s="20"/>
      <c r="N7" s="20"/>
      <c r="O7" s="20"/>
      <c r="P7" s="17"/>
      <c r="Q7" s="21"/>
      <c r="R7" s="22"/>
      <c r="S7" s="22"/>
      <c r="T7" s="91" t="s">
        <v>1170</v>
      </c>
      <c r="U7" s="91">
        <v>0.5</v>
      </c>
      <c r="V7" s="45">
        <v>16000</v>
      </c>
      <c r="W7" s="23"/>
      <c r="X7" s="121">
        <f>V7*60%</f>
        <v>9600</v>
      </c>
      <c r="Y7" s="30"/>
      <c r="Z7" s="22"/>
      <c r="AA7" s="247">
        <v>2</v>
      </c>
      <c r="AB7" s="30">
        <f>X7/30*AA7</f>
        <v>640</v>
      </c>
      <c r="AC7" s="30">
        <v>480</v>
      </c>
      <c r="AD7" s="31">
        <f t="shared" si="0"/>
        <v>1120</v>
      </c>
      <c r="AE7" s="22"/>
    </row>
    <row r="8" spans="1:31" x14ac:dyDescent="0.25">
      <c r="A8" s="13" t="s">
        <v>33</v>
      </c>
      <c r="B8" s="249"/>
      <c r="C8" s="91"/>
      <c r="D8" s="14"/>
      <c r="E8" s="16"/>
      <c r="F8" s="17"/>
      <c r="G8" s="17"/>
      <c r="H8" s="25"/>
      <c r="I8" s="18"/>
      <c r="J8" s="19"/>
      <c r="K8" s="19"/>
      <c r="L8" s="20"/>
      <c r="M8" s="20"/>
      <c r="N8" s="20"/>
      <c r="O8" s="20"/>
      <c r="P8" s="17"/>
      <c r="Q8" s="21"/>
      <c r="R8" s="22"/>
      <c r="S8" s="22"/>
      <c r="T8" s="91"/>
      <c r="U8" s="91"/>
      <c r="V8" s="45"/>
      <c r="W8" s="23"/>
      <c r="X8" s="126"/>
      <c r="Y8" s="30"/>
      <c r="Z8" s="22"/>
      <c r="AA8" s="247"/>
      <c r="AB8" s="30"/>
      <c r="AC8" s="30"/>
      <c r="AD8" s="31"/>
      <c r="AE8" s="22"/>
    </row>
    <row r="9" spans="1:31" x14ac:dyDescent="0.25">
      <c r="A9" s="13" t="s">
        <v>35</v>
      </c>
      <c r="B9" s="94"/>
      <c r="C9" s="91"/>
      <c r="D9" s="14"/>
      <c r="E9" s="16"/>
      <c r="F9" s="17"/>
      <c r="G9" s="17"/>
      <c r="H9" s="25"/>
      <c r="I9" s="18"/>
      <c r="J9" s="19"/>
      <c r="K9" s="19"/>
      <c r="L9" s="20"/>
      <c r="M9" s="20"/>
      <c r="N9" s="20"/>
      <c r="O9" s="20"/>
      <c r="P9" s="17"/>
      <c r="Q9" s="21"/>
      <c r="R9" s="22"/>
      <c r="S9" s="22"/>
      <c r="T9" s="86"/>
      <c r="U9" s="86"/>
      <c r="V9" s="45"/>
      <c r="W9" s="23"/>
      <c r="X9" s="121"/>
      <c r="Y9" s="30"/>
      <c r="Z9" s="30"/>
      <c r="AA9" s="247"/>
      <c r="AB9" s="30"/>
      <c r="AC9" s="21"/>
      <c r="AD9" s="31"/>
      <c r="AE9" s="22"/>
    </row>
    <row r="10" spans="1:31" s="12" customFormat="1" x14ac:dyDescent="0.25">
      <c r="A10" s="223"/>
      <c r="B10" s="224" t="s">
        <v>48</v>
      </c>
      <c r="C10" s="225"/>
      <c r="D10" s="225"/>
      <c r="E10" s="225"/>
      <c r="F10" s="226"/>
      <c r="G10" s="226"/>
      <c r="H10" s="226"/>
      <c r="I10" s="225"/>
      <c r="J10" s="227">
        <f>SUM(J4:J7)</f>
        <v>0</v>
      </c>
      <c r="K10" s="228"/>
      <c r="L10" s="226"/>
      <c r="M10" s="229"/>
      <c r="N10" s="226"/>
      <c r="O10" s="226"/>
      <c r="P10" s="229"/>
      <c r="Q10" s="225"/>
      <c r="R10" s="225"/>
      <c r="S10" s="225"/>
      <c r="T10" s="225"/>
      <c r="U10" s="225"/>
      <c r="V10" s="216"/>
      <c r="W10" s="224"/>
      <c r="X10" s="226">
        <f>SUM(X4:X8)</f>
        <v>37893</v>
      </c>
      <c r="Y10" s="226">
        <f>SUM(Y4:Y7)</f>
        <v>43479</v>
      </c>
      <c r="Z10" s="226">
        <f>SUM(Z4:Z6)</f>
        <v>0</v>
      </c>
      <c r="AA10" s="225"/>
      <c r="AB10" s="226">
        <f>SUM(AB4:AB7)</f>
        <v>16368.2</v>
      </c>
      <c r="AC10" s="226">
        <f>SUM(AC4:AC7)</f>
        <v>1595</v>
      </c>
      <c r="AD10" s="226">
        <f>SUM(AD4:AD7)</f>
        <v>61442.2</v>
      </c>
      <c r="AE10" s="225"/>
    </row>
    <row r="12" spans="1:31" x14ac:dyDescent="0.25">
      <c r="V12" s="213">
        <f>14/12*9</f>
        <v>10.5</v>
      </c>
    </row>
    <row r="13" spans="1:31" x14ac:dyDescent="0.25">
      <c r="V13" s="213">
        <v>28</v>
      </c>
      <c r="Y13" s="1">
        <f>14/12*5</f>
        <v>5.8333333333333339</v>
      </c>
    </row>
    <row r="14" spans="1:31" x14ac:dyDescent="0.25">
      <c r="V14" s="213">
        <f>SUM(V12:V13)</f>
        <v>38.5</v>
      </c>
    </row>
    <row r="15" spans="1:31" x14ac:dyDescent="0.25">
      <c r="V15" s="213">
        <f>V14/2</f>
        <v>19.25</v>
      </c>
    </row>
    <row r="16" spans="1:31" x14ac:dyDescent="0.25">
      <c r="V16" s="213">
        <f>V13-V15</f>
        <v>8.75</v>
      </c>
      <c r="Y16" s="1">
        <f>20/12*6</f>
        <v>10</v>
      </c>
      <c r="AA16" s="90"/>
    </row>
    <row r="17" spans="22:28" x14ac:dyDescent="0.25">
      <c r="V17" s="213">
        <f>V16/2</f>
        <v>4.375</v>
      </c>
      <c r="AA17" s="90"/>
    </row>
    <row r="19" spans="22:28" x14ac:dyDescent="0.25">
      <c r="AB19" s="1">
        <f>23000*60%</f>
        <v>13800</v>
      </c>
    </row>
  </sheetData>
  <mergeCells count="4">
    <mergeCell ref="A1:AD1"/>
    <mergeCell ref="A2:AD2"/>
    <mergeCell ref="N3:P3"/>
    <mergeCell ref="AA3:AB3"/>
  </mergeCells>
  <pageMargins left="1.45" right="0.7" top="0.75" bottom="0.75" header="0.3" footer="0.3"/>
  <pageSetup scale="8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264"/>
  <sheetViews>
    <sheetView tabSelected="1" topLeftCell="A220" workbookViewId="0">
      <selection activeCell="AA225" sqref="AA225"/>
    </sheetView>
  </sheetViews>
  <sheetFormatPr defaultRowHeight="15.75" x14ac:dyDescent="0.25"/>
  <cols>
    <col min="1" max="1" width="6.5703125" style="78" customWidth="1"/>
    <col min="2" max="2" width="24.85546875" style="1" customWidth="1"/>
    <col min="3" max="3" width="19" style="1" customWidth="1"/>
    <col min="4" max="4" width="13" style="1" hidden="1" customWidth="1"/>
    <col min="5" max="5" width="13.5703125" style="1" hidden="1" customWidth="1"/>
    <col min="6" max="6" width="11" style="1" hidden="1" customWidth="1"/>
    <col min="7" max="7" width="10.5703125" style="1" hidden="1" customWidth="1"/>
    <col min="8" max="8" width="10" style="1" hidden="1" customWidth="1"/>
    <col min="9" max="9" width="8.5703125" style="1" hidden="1" customWidth="1"/>
    <col min="10" max="10" width="10.7109375" style="79" hidden="1" customWidth="1"/>
    <col min="11" max="11" width="9.42578125" style="80" hidden="1" customWidth="1"/>
    <col min="12" max="12" width="14.5703125" style="81" hidden="1" customWidth="1"/>
    <col min="13" max="13" width="6.7109375" style="82" hidden="1" customWidth="1"/>
    <col min="14" max="14" width="9" style="81" hidden="1" customWidth="1"/>
    <col min="15" max="15" width="6.85546875" style="81" hidden="1" customWidth="1"/>
    <col min="16" max="16" width="10.5703125" style="82" hidden="1" customWidth="1"/>
    <col min="17" max="17" width="12.28515625" style="1" hidden="1" customWidth="1"/>
    <col min="18" max="18" width="12.5703125" style="1" hidden="1" customWidth="1"/>
    <col min="19" max="19" width="0.28515625" style="1" customWidth="1"/>
    <col min="20" max="20" width="12.85546875" style="1" customWidth="1"/>
    <col min="21" max="21" width="9.140625" style="1" customWidth="1"/>
    <col min="22" max="22" width="10.5703125" style="213" hidden="1" customWidth="1"/>
    <col min="23" max="23" width="10" style="1" hidden="1" customWidth="1"/>
    <col min="24" max="24" width="11.42578125" style="1" customWidth="1"/>
    <col min="25" max="25" width="12.7109375" style="1" bestFit="1" customWidth="1"/>
    <col min="26" max="26" width="12.7109375" style="1" hidden="1" customWidth="1"/>
    <col min="27" max="27" width="7.85546875" style="1" customWidth="1"/>
    <col min="28" max="28" width="10.28515625" style="1" customWidth="1"/>
    <col min="29" max="29" width="14.28515625" style="1" hidden="1" customWidth="1"/>
    <col min="30" max="30" width="10.7109375" style="1" customWidth="1"/>
    <col min="31" max="32" width="13" style="1" customWidth="1"/>
    <col min="33" max="33" width="12.42578125" style="1" customWidth="1"/>
    <col min="34" max="243" width="9.140625" style="1"/>
    <col min="244" max="244" width="5.140625" style="1" customWidth="1"/>
    <col min="245" max="245" width="33.5703125" style="1" customWidth="1"/>
    <col min="246" max="246" width="25.85546875" style="1" customWidth="1"/>
    <col min="247" max="247" width="0" style="1" hidden="1" customWidth="1"/>
    <col min="248" max="248" width="14.85546875" style="1" customWidth="1"/>
    <col min="249" max="249" width="13.85546875" style="1" customWidth="1"/>
    <col min="250" max="250" width="12.140625" style="1" customWidth="1"/>
    <col min="251" max="251" width="13.7109375" style="1" customWidth="1"/>
    <col min="252" max="252" width="8.5703125" style="1" customWidth="1"/>
    <col min="253" max="253" width="13" style="1" customWidth="1"/>
    <col min="254" max="254" width="9" style="1" customWidth="1"/>
    <col min="255" max="255" width="6.7109375" style="1" customWidth="1"/>
    <col min="256" max="256" width="9" style="1" customWidth="1"/>
    <col min="257" max="257" width="6.85546875" style="1" customWidth="1"/>
    <col min="258" max="258" width="10.5703125" style="1" customWidth="1"/>
    <col min="259" max="259" width="12.28515625" style="1" customWidth="1"/>
    <col min="260" max="260" width="12.5703125" style="1" customWidth="1"/>
    <col min="261" max="261" width="1.5703125" style="1" customWidth="1"/>
    <col min="262" max="262" width="45.140625" style="1" customWidth="1"/>
    <col min="263" max="263" width="13.140625" style="1" customWidth="1"/>
    <col min="264" max="264" width="10.28515625" style="1" bestFit="1" customWidth="1"/>
    <col min="265" max="265" width="16.28515625" style="1" bestFit="1" customWidth="1"/>
    <col min="266" max="266" width="11.28515625" style="1" bestFit="1" customWidth="1"/>
    <col min="267" max="499" width="9.140625" style="1"/>
    <col min="500" max="500" width="5.140625" style="1" customWidth="1"/>
    <col min="501" max="501" width="33.5703125" style="1" customWidth="1"/>
    <col min="502" max="502" width="25.85546875" style="1" customWidth="1"/>
    <col min="503" max="503" width="0" style="1" hidden="1" customWidth="1"/>
    <col min="504" max="504" width="14.85546875" style="1" customWidth="1"/>
    <col min="505" max="505" width="13.85546875" style="1" customWidth="1"/>
    <col min="506" max="506" width="12.140625" style="1" customWidth="1"/>
    <col min="507" max="507" width="13.7109375" style="1" customWidth="1"/>
    <col min="508" max="508" width="8.5703125" style="1" customWidth="1"/>
    <col min="509" max="509" width="13" style="1" customWidth="1"/>
    <col min="510" max="510" width="9" style="1" customWidth="1"/>
    <col min="511" max="511" width="6.7109375" style="1" customWidth="1"/>
    <col min="512" max="512" width="9" style="1" customWidth="1"/>
    <col min="513" max="513" width="6.85546875" style="1" customWidth="1"/>
    <col min="514" max="514" width="10.5703125" style="1" customWidth="1"/>
    <col min="515" max="515" width="12.28515625" style="1" customWidth="1"/>
    <col min="516" max="516" width="12.5703125" style="1" customWidth="1"/>
    <col min="517" max="517" width="1.5703125" style="1" customWidth="1"/>
    <col min="518" max="518" width="45.140625" style="1" customWidth="1"/>
    <col min="519" max="519" width="13.140625" style="1" customWidth="1"/>
    <col min="520" max="520" width="10.28515625" style="1" bestFit="1" customWidth="1"/>
    <col min="521" max="521" width="16.28515625" style="1" bestFit="1" customWidth="1"/>
    <col min="522" max="522" width="11.28515625" style="1" bestFit="1" customWidth="1"/>
    <col min="523" max="755" width="9.140625" style="1"/>
    <col min="756" max="756" width="5.140625" style="1" customWidth="1"/>
    <col min="757" max="757" width="33.5703125" style="1" customWidth="1"/>
    <col min="758" max="758" width="25.85546875" style="1" customWidth="1"/>
    <col min="759" max="759" width="0" style="1" hidden="1" customWidth="1"/>
    <col min="760" max="760" width="14.85546875" style="1" customWidth="1"/>
    <col min="761" max="761" width="13.85546875" style="1" customWidth="1"/>
    <col min="762" max="762" width="12.140625" style="1" customWidth="1"/>
    <col min="763" max="763" width="13.7109375" style="1" customWidth="1"/>
    <col min="764" max="764" width="8.5703125" style="1" customWidth="1"/>
    <col min="765" max="765" width="13" style="1" customWidth="1"/>
    <col min="766" max="766" width="9" style="1" customWidth="1"/>
    <col min="767" max="767" width="6.7109375" style="1" customWidth="1"/>
    <col min="768" max="768" width="9" style="1" customWidth="1"/>
    <col min="769" max="769" width="6.85546875" style="1" customWidth="1"/>
    <col min="770" max="770" width="10.5703125" style="1" customWidth="1"/>
    <col min="771" max="771" width="12.28515625" style="1" customWidth="1"/>
    <col min="772" max="772" width="12.5703125" style="1" customWidth="1"/>
    <col min="773" max="773" width="1.5703125" style="1" customWidth="1"/>
    <col min="774" max="774" width="45.140625" style="1" customWidth="1"/>
    <col min="775" max="775" width="13.140625" style="1" customWidth="1"/>
    <col min="776" max="776" width="10.28515625" style="1" bestFit="1" customWidth="1"/>
    <col min="777" max="777" width="16.28515625" style="1" bestFit="1" customWidth="1"/>
    <col min="778" max="778" width="11.28515625" style="1" bestFit="1" customWidth="1"/>
    <col min="779" max="1011" width="9.140625" style="1"/>
    <col min="1012" max="1012" width="5.140625" style="1" customWidth="1"/>
    <col min="1013" max="1013" width="33.5703125" style="1" customWidth="1"/>
    <col min="1014" max="1014" width="25.85546875" style="1" customWidth="1"/>
    <col min="1015" max="1015" width="0" style="1" hidden="1" customWidth="1"/>
    <col min="1016" max="1016" width="14.85546875" style="1" customWidth="1"/>
    <col min="1017" max="1017" width="13.85546875" style="1" customWidth="1"/>
    <col min="1018" max="1018" width="12.140625" style="1" customWidth="1"/>
    <col min="1019" max="1019" width="13.7109375" style="1" customWidth="1"/>
    <col min="1020" max="1020" width="8.5703125" style="1" customWidth="1"/>
    <col min="1021" max="1021" width="13" style="1" customWidth="1"/>
    <col min="1022" max="1022" width="9" style="1" customWidth="1"/>
    <col min="1023" max="1023" width="6.7109375" style="1" customWidth="1"/>
    <col min="1024" max="1024" width="9" style="1" customWidth="1"/>
    <col min="1025" max="1025" width="6.85546875" style="1" customWidth="1"/>
    <col min="1026" max="1026" width="10.5703125" style="1" customWidth="1"/>
    <col min="1027" max="1027" width="12.28515625" style="1" customWidth="1"/>
    <col min="1028" max="1028" width="12.5703125" style="1" customWidth="1"/>
    <col min="1029" max="1029" width="1.5703125" style="1" customWidth="1"/>
    <col min="1030" max="1030" width="45.140625" style="1" customWidth="1"/>
    <col min="1031" max="1031" width="13.140625" style="1" customWidth="1"/>
    <col min="1032" max="1032" width="10.28515625" style="1" bestFit="1" customWidth="1"/>
    <col min="1033" max="1033" width="16.28515625" style="1" bestFit="1" customWidth="1"/>
    <col min="1034" max="1034" width="11.28515625" style="1" bestFit="1" customWidth="1"/>
    <col min="1035" max="1267" width="9.140625" style="1"/>
    <col min="1268" max="1268" width="5.140625" style="1" customWidth="1"/>
    <col min="1269" max="1269" width="33.5703125" style="1" customWidth="1"/>
    <col min="1270" max="1270" width="25.85546875" style="1" customWidth="1"/>
    <col min="1271" max="1271" width="0" style="1" hidden="1" customWidth="1"/>
    <col min="1272" max="1272" width="14.85546875" style="1" customWidth="1"/>
    <col min="1273" max="1273" width="13.85546875" style="1" customWidth="1"/>
    <col min="1274" max="1274" width="12.140625" style="1" customWidth="1"/>
    <col min="1275" max="1275" width="13.7109375" style="1" customWidth="1"/>
    <col min="1276" max="1276" width="8.5703125" style="1" customWidth="1"/>
    <col min="1277" max="1277" width="13" style="1" customWidth="1"/>
    <col min="1278" max="1278" width="9" style="1" customWidth="1"/>
    <col min="1279" max="1279" width="6.7109375" style="1" customWidth="1"/>
    <col min="1280" max="1280" width="9" style="1" customWidth="1"/>
    <col min="1281" max="1281" width="6.85546875" style="1" customWidth="1"/>
    <col min="1282" max="1282" width="10.5703125" style="1" customWidth="1"/>
    <col min="1283" max="1283" width="12.28515625" style="1" customWidth="1"/>
    <col min="1284" max="1284" width="12.5703125" style="1" customWidth="1"/>
    <col min="1285" max="1285" width="1.5703125" style="1" customWidth="1"/>
    <col min="1286" max="1286" width="45.140625" style="1" customWidth="1"/>
    <col min="1287" max="1287" width="13.140625" style="1" customWidth="1"/>
    <col min="1288" max="1288" width="10.28515625" style="1" bestFit="1" customWidth="1"/>
    <col min="1289" max="1289" width="16.28515625" style="1" bestFit="1" customWidth="1"/>
    <col min="1290" max="1290" width="11.28515625" style="1" bestFit="1" customWidth="1"/>
    <col min="1291" max="1523" width="9.140625" style="1"/>
    <col min="1524" max="1524" width="5.140625" style="1" customWidth="1"/>
    <col min="1525" max="1525" width="33.5703125" style="1" customWidth="1"/>
    <col min="1526" max="1526" width="25.85546875" style="1" customWidth="1"/>
    <col min="1527" max="1527" width="0" style="1" hidden="1" customWidth="1"/>
    <col min="1528" max="1528" width="14.85546875" style="1" customWidth="1"/>
    <col min="1529" max="1529" width="13.85546875" style="1" customWidth="1"/>
    <col min="1530" max="1530" width="12.140625" style="1" customWidth="1"/>
    <col min="1531" max="1531" width="13.7109375" style="1" customWidth="1"/>
    <col min="1532" max="1532" width="8.5703125" style="1" customWidth="1"/>
    <col min="1533" max="1533" width="13" style="1" customWidth="1"/>
    <col min="1534" max="1534" width="9" style="1" customWidth="1"/>
    <col min="1535" max="1535" width="6.7109375" style="1" customWidth="1"/>
    <col min="1536" max="1536" width="9" style="1" customWidth="1"/>
    <col min="1537" max="1537" width="6.85546875" style="1" customWidth="1"/>
    <col min="1538" max="1538" width="10.5703125" style="1" customWidth="1"/>
    <col min="1539" max="1539" width="12.28515625" style="1" customWidth="1"/>
    <col min="1540" max="1540" width="12.5703125" style="1" customWidth="1"/>
    <col min="1541" max="1541" width="1.5703125" style="1" customWidth="1"/>
    <col min="1542" max="1542" width="45.140625" style="1" customWidth="1"/>
    <col min="1543" max="1543" width="13.140625" style="1" customWidth="1"/>
    <col min="1544" max="1544" width="10.28515625" style="1" bestFit="1" customWidth="1"/>
    <col min="1545" max="1545" width="16.28515625" style="1" bestFit="1" customWidth="1"/>
    <col min="1546" max="1546" width="11.28515625" style="1" bestFit="1" customWidth="1"/>
    <col min="1547" max="1779" width="9.140625" style="1"/>
    <col min="1780" max="1780" width="5.140625" style="1" customWidth="1"/>
    <col min="1781" max="1781" width="33.5703125" style="1" customWidth="1"/>
    <col min="1782" max="1782" width="25.85546875" style="1" customWidth="1"/>
    <col min="1783" max="1783" width="0" style="1" hidden="1" customWidth="1"/>
    <col min="1784" max="1784" width="14.85546875" style="1" customWidth="1"/>
    <col min="1785" max="1785" width="13.85546875" style="1" customWidth="1"/>
    <col min="1786" max="1786" width="12.140625" style="1" customWidth="1"/>
    <col min="1787" max="1787" width="13.7109375" style="1" customWidth="1"/>
    <col min="1788" max="1788" width="8.5703125" style="1" customWidth="1"/>
    <col min="1789" max="1789" width="13" style="1" customWidth="1"/>
    <col min="1790" max="1790" width="9" style="1" customWidth="1"/>
    <col min="1791" max="1791" width="6.7109375" style="1" customWidth="1"/>
    <col min="1792" max="1792" width="9" style="1" customWidth="1"/>
    <col min="1793" max="1793" width="6.85546875" style="1" customWidth="1"/>
    <col min="1794" max="1794" width="10.5703125" style="1" customWidth="1"/>
    <col min="1795" max="1795" width="12.28515625" style="1" customWidth="1"/>
    <col min="1796" max="1796" width="12.5703125" style="1" customWidth="1"/>
    <col min="1797" max="1797" width="1.5703125" style="1" customWidth="1"/>
    <col min="1798" max="1798" width="45.140625" style="1" customWidth="1"/>
    <col min="1799" max="1799" width="13.140625" style="1" customWidth="1"/>
    <col min="1800" max="1800" width="10.28515625" style="1" bestFit="1" customWidth="1"/>
    <col min="1801" max="1801" width="16.28515625" style="1" bestFit="1" customWidth="1"/>
    <col min="1802" max="1802" width="11.28515625" style="1" bestFit="1" customWidth="1"/>
    <col min="1803" max="2035" width="9.140625" style="1"/>
    <col min="2036" max="2036" width="5.140625" style="1" customWidth="1"/>
    <col min="2037" max="2037" width="33.5703125" style="1" customWidth="1"/>
    <col min="2038" max="2038" width="25.85546875" style="1" customWidth="1"/>
    <col min="2039" max="2039" width="0" style="1" hidden="1" customWidth="1"/>
    <col min="2040" max="2040" width="14.85546875" style="1" customWidth="1"/>
    <col min="2041" max="2041" width="13.85546875" style="1" customWidth="1"/>
    <col min="2042" max="2042" width="12.140625" style="1" customWidth="1"/>
    <col min="2043" max="2043" width="13.7109375" style="1" customWidth="1"/>
    <col min="2044" max="2044" width="8.5703125" style="1" customWidth="1"/>
    <col min="2045" max="2045" width="13" style="1" customWidth="1"/>
    <col min="2046" max="2046" width="9" style="1" customWidth="1"/>
    <col min="2047" max="2047" width="6.7109375" style="1" customWidth="1"/>
    <col min="2048" max="2048" width="9" style="1" customWidth="1"/>
    <col min="2049" max="2049" width="6.85546875" style="1" customWidth="1"/>
    <col min="2050" max="2050" width="10.5703125" style="1" customWidth="1"/>
    <col min="2051" max="2051" width="12.28515625" style="1" customWidth="1"/>
    <col min="2052" max="2052" width="12.5703125" style="1" customWidth="1"/>
    <col min="2053" max="2053" width="1.5703125" style="1" customWidth="1"/>
    <col min="2054" max="2054" width="45.140625" style="1" customWidth="1"/>
    <col min="2055" max="2055" width="13.140625" style="1" customWidth="1"/>
    <col min="2056" max="2056" width="10.28515625" style="1" bestFit="1" customWidth="1"/>
    <col min="2057" max="2057" width="16.28515625" style="1" bestFit="1" customWidth="1"/>
    <col min="2058" max="2058" width="11.28515625" style="1" bestFit="1" customWidth="1"/>
    <col min="2059" max="2291" width="9.140625" style="1"/>
    <col min="2292" max="2292" width="5.140625" style="1" customWidth="1"/>
    <col min="2293" max="2293" width="33.5703125" style="1" customWidth="1"/>
    <col min="2294" max="2294" width="25.85546875" style="1" customWidth="1"/>
    <col min="2295" max="2295" width="0" style="1" hidden="1" customWidth="1"/>
    <col min="2296" max="2296" width="14.85546875" style="1" customWidth="1"/>
    <col min="2297" max="2297" width="13.85546875" style="1" customWidth="1"/>
    <col min="2298" max="2298" width="12.140625" style="1" customWidth="1"/>
    <col min="2299" max="2299" width="13.7109375" style="1" customWidth="1"/>
    <col min="2300" max="2300" width="8.5703125" style="1" customWidth="1"/>
    <col min="2301" max="2301" width="13" style="1" customWidth="1"/>
    <col min="2302" max="2302" width="9" style="1" customWidth="1"/>
    <col min="2303" max="2303" width="6.7109375" style="1" customWidth="1"/>
    <col min="2304" max="2304" width="9" style="1" customWidth="1"/>
    <col min="2305" max="2305" width="6.85546875" style="1" customWidth="1"/>
    <col min="2306" max="2306" width="10.5703125" style="1" customWidth="1"/>
    <col min="2307" max="2307" width="12.28515625" style="1" customWidth="1"/>
    <col min="2308" max="2308" width="12.5703125" style="1" customWidth="1"/>
    <col min="2309" max="2309" width="1.5703125" style="1" customWidth="1"/>
    <col min="2310" max="2310" width="45.140625" style="1" customWidth="1"/>
    <col min="2311" max="2311" width="13.140625" style="1" customWidth="1"/>
    <col min="2312" max="2312" width="10.28515625" style="1" bestFit="1" customWidth="1"/>
    <col min="2313" max="2313" width="16.28515625" style="1" bestFit="1" customWidth="1"/>
    <col min="2314" max="2314" width="11.28515625" style="1" bestFit="1" customWidth="1"/>
    <col min="2315" max="2547" width="9.140625" style="1"/>
    <col min="2548" max="2548" width="5.140625" style="1" customWidth="1"/>
    <col min="2549" max="2549" width="33.5703125" style="1" customWidth="1"/>
    <col min="2550" max="2550" width="25.85546875" style="1" customWidth="1"/>
    <col min="2551" max="2551" width="0" style="1" hidden="1" customWidth="1"/>
    <col min="2552" max="2552" width="14.85546875" style="1" customWidth="1"/>
    <col min="2553" max="2553" width="13.85546875" style="1" customWidth="1"/>
    <col min="2554" max="2554" width="12.140625" style="1" customWidth="1"/>
    <col min="2555" max="2555" width="13.7109375" style="1" customWidth="1"/>
    <col min="2556" max="2556" width="8.5703125" style="1" customWidth="1"/>
    <col min="2557" max="2557" width="13" style="1" customWidth="1"/>
    <col min="2558" max="2558" width="9" style="1" customWidth="1"/>
    <col min="2559" max="2559" width="6.7109375" style="1" customWidth="1"/>
    <col min="2560" max="2560" width="9" style="1" customWidth="1"/>
    <col min="2561" max="2561" width="6.85546875" style="1" customWidth="1"/>
    <col min="2562" max="2562" width="10.5703125" style="1" customWidth="1"/>
    <col min="2563" max="2563" width="12.28515625" style="1" customWidth="1"/>
    <col min="2564" max="2564" width="12.5703125" style="1" customWidth="1"/>
    <col min="2565" max="2565" width="1.5703125" style="1" customWidth="1"/>
    <col min="2566" max="2566" width="45.140625" style="1" customWidth="1"/>
    <col min="2567" max="2567" width="13.140625" style="1" customWidth="1"/>
    <col min="2568" max="2568" width="10.28515625" style="1" bestFit="1" customWidth="1"/>
    <col min="2569" max="2569" width="16.28515625" style="1" bestFit="1" customWidth="1"/>
    <col min="2570" max="2570" width="11.28515625" style="1" bestFit="1" customWidth="1"/>
    <col min="2571" max="2803" width="9.140625" style="1"/>
    <col min="2804" max="2804" width="5.140625" style="1" customWidth="1"/>
    <col min="2805" max="2805" width="33.5703125" style="1" customWidth="1"/>
    <col min="2806" max="2806" width="25.85546875" style="1" customWidth="1"/>
    <col min="2807" max="2807" width="0" style="1" hidden="1" customWidth="1"/>
    <col min="2808" max="2808" width="14.85546875" style="1" customWidth="1"/>
    <col min="2809" max="2809" width="13.85546875" style="1" customWidth="1"/>
    <col min="2810" max="2810" width="12.140625" style="1" customWidth="1"/>
    <col min="2811" max="2811" width="13.7109375" style="1" customWidth="1"/>
    <col min="2812" max="2812" width="8.5703125" style="1" customWidth="1"/>
    <col min="2813" max="2813" width="13" style="1" customWidth="1"/>
    <col min="2814" max="2814" width="9" style="1" customWidth="1"/>
    <col min="2815" max="2815" width="6.7109375" style="1" customWidth="1"/>
    <col min="2816" max="2816" width="9" style="1" customWidth="1"/>
    <col min="2817" max="2817" width="6.85546875" style="1" customWidth="1"/>
    <col min="2818" max="2818" width="10.5703125" style="1" customWidth="1"/>
    <col min="2819" max="2819" width="12.28515625" style="1" customWidth="1"/>
    <col min="2820" max="2820" width="12.5703125" style="1" customWidth="1"/>
    <col min="2821" max="2821" width="1.5703125" style="1" customWidth="1"/>
    <col min="2822" max="2822" width="45.140625" style="1" customWidth="1"/>
    <col min="2823" max="2823" width="13.140625" style="1" customWidth="1"/>
    <col min="2824" max="2824" width="10.28515625" style="1" bestFit="1" customWidth="1"/>
    <col min="2825" max="2825" width="16.28515625" style="1" bestFit="1" customWidth="1"/>
    <col min="2826" max="2826" width="11.28515625" style="1" bestFit="1" customWidth="1"/>
    <col min="2827" max="3059" width="9.140625" style="1"/>
    <col min="3060" max="3060" width="5.140625" style="1" customWidth="1"/>
    <col min="3061" max="3061" width="33.5703125" style="1" customWidth="1"/>
    <col min="3062" max="3062" width="25.85546875" style="1" customWidth="1"/>
    <col min="3063" max="3063" width="0" style="1" hidden="1" customWidth="1"/>
    <col min="3064" max="3064" width="14.85546875" style="1" customWidth="1"/>
    <col min="3065" max="3065" width="13.85546875" style="1" customWidth="1"/>
    <col min="3066" max="3066" width="12.140625" style="1" customWidth="1"/>
    <col min="3067" max="3067" width="13.7109375" style="1" customWidth="1"/>
    <col min="3068" max="3068" width="8.5703125" style="1" customWidth="1"/>
    <col min="3069" max="3069" width="13" style="1" customWidth="1"/>
    <col min="3070" max="3070" width="9" style="1" customWidth="1"/>
    <col min="3071" max="3071" width="6.7109375" style="1" customWidth="1"/>
    <col min="3072" max="3072" width="9" style="1" customWidth="1"/>
    <col min="3073" max="3073" width="6.85546875" style="1" customWidth="1"/>
    <col min="3074" max="3074" width="10.5703125" style="1" customWidth="1"/>
    <col min="3075" max="3075" width="12.28515625" style="1" customWidth="1"/>
    <col min="3076" max="3076" width="12.5703125" style="1" customWidth="1"/>
    <col min="3077" max="3077" width="1.5703125" style="1" customWidth="1"/>
    <col min="3078" max="3078" width="45.140625" style="1" customWidth="1"/>
    <col min="3079" max="3079" width="13.140625" style="1" customWidth="1"/>
    <col min="3080" max="3080" width="10.28515625" style="1" bestFit="1" customWidth="1"/>
    <col min="3081" max="3081" width="16.28515625" style="1" bestFit="1" customWidth="1"/>
    <col min="3082" max="3082" width="11.28515625" style="1" bestFit="1" customWidth="1"/>
    <col min="3083" max="3315" width="9.140625" style="1"/>
    <col min="3316" max="3316" width="5.140625" style="1" customWidth="1"/>
    <col min="3317" max="3317" width="33.5703125" style="1" customWidth="1"/>
    <col min="3318" max="3318" width="25.85546875" style="1" customWidth="1"/>
    <col min="3319" max="3319" width="0" style="1" hidden="1" customWidth="1"/>
    <col min="3320" max="3320" width="14.85546875" style="1" customWidth="1"/>
    <col min="3321" max="3321" width="13.85546875" style="1" customWidth="1"/>
    <col min="3322" max="3322" width="12.140625" style="1" customWidth="1"/>
    <col min="3323" max="3323" width="13.7109375" style="1" customWidth="1"/>
    <col min="3324" max="3324" width="8.5703125" style="1" customWidth="1"/>
    <col min="3325" max="3325" width="13" style="1" customWidth="1"/>
    <col min="3326" max="3326" width="9" style="1" customWidth="1"/>
    <col min="3327" max="3327" width="6.7109375" style="1" customWidth="1"/>
    <col min="3328" max="3328" width="9" style="1" customWidth="1"/>
    <col min="3329" max="3329" width="6.85546875" style="1" customWidth="1"/>
    <col min="3330" max="3330" width="10.5703125" style="1" customWidth="1"/>
    <col min="3331" max="3331" width="12.28515625" style="1" customWidth="1"/>
    <col min="3332" max="3332" width="12.5703125" style="1" customWidth="1"/>
    <col min="3333" max="3333" width="1.5703125" style="1" customWidth="1"/>
    <col min="3334" max="3334" width="45.140625" style="1" customWidth="1"/>
    <col min="3335" max="3335" width="13.140625" style="1" customWidth="1"/>
    <col min="3336" max="3336" width="10.28515625" style="1" bestFit="1" customWidth="1"/>
    <col min="3337" max="3337" width="16.28515625" style="1" bestFit="1" customWidth="1"/>
    <col min="3338" max="3338" width="11.28515625" style="1" bestFit="1" customWidth="1"/>
    <col min="3339" max="3571" width="9.140625" style="1"/>
    <col min="3572" max="3572" width="5.140625" style="1" customWidth="1"/>
    <col min="3573" max="3573" width="33.5703125" style="1" customWidth="1"/>
    <col min="3574" max="3574" width="25.85546875" style="1" customWidth="1"/>
    <col min="3575" max="3575" width="0" style="1" hidden="1" customWidth="1"/>
    <col min="3576" max="3576" width="14.85546875" style="1" customWidth="1"/>
    <col min="3577" max="3577" width="13.85546875" style="1" customWidth="1"/>
    <col min="3578" max="3578" width="12.140625" style="1" customWidth="1"/>
    <col min="3579" max="3579" width="13.7109375" style="1" customWidth="1"/>
    <col min="3580" max="3580" width="8.5703125" style="1" customWidth="1"/>
    <col min="3581" max="3581" width="13" style="1" customWidth="1"/>
    <col min="3582" max="3582" width="9" style="1" customWidth="1"/>
    <col min="3583" max="3583" width="6.7109375" style="1" customWidth="1"/>
    <col min="3584" max="3584" width="9" style="1" customWidth="1"/>
    <col min="3585" max="3585" width="6.85546875" style="1" customWidth="1"/>
    <col min="3586" max="3586" width="10.5703125" style="1" customWidth="1"/>
    <col min="3587" max="3587" width="12.28515625" style="1" customWidth="1"/>
    <col min="3588" max="3588" width="12.5703125" style="1" customWidth="1"/>
    <col min="3589" max="3589" width="1.5703125" style="1" customWidth="1"/>
    <col min="3590" max="3590" width="45.140625" style="1" customWidth="1"/>
    <col min="3591" max="3591" width="13.140625" style="1" customWidth="1"/>
    <col min="3592" max="3592" width="10.28515625" style="1" bestFit="1" customWidth="1"/>
    <col min="3593" max="3593" width="16.28515625" style="1" bestFit="1" customWidth="1"/>
    <col min="3594" max="3594" width="11.28515625" style="1" bestFit="1" customWidth="1"/>
    <col min="3595" max="3827" width="9.140625" style="1"/>
    <col min="3828" max="3828" width="5.140625" style="1" customWidth="1"/>
    <col min="3829" max="3829" width="33.5703125" style="1" customWidth="1"/>
    <col min="3830" max="3830" width="25.85546875" style="1" customWidth="1"/>
    <col min="3831" max="3831" width="0" style="1" hidden="1" customWidth="1"/>
    <col min="3832" max="3832" width="14.85546875" style="1" customWidth="1"/>
    <col min="3833" max="3833" width="13.85546875" style="1" customWidth="1"/>
    <col min="3834" max="3834" width="12.140625" style="1" customWidth="1"/>
    <col min="3835" max="3835" width="13.7109375" style="1" customWidth="1"/>
    <col min="3836" max="3836" width="8.5703125" style="1" customWidth="1"/>
    <col min="3837" max="3837" width="13" style="1" customWidth="1"/>
    <col min="3838" max="3838" width="9" style="1" customWidth="1"/>
    <col min="3839" max="3839" width="6.7109375" style="1" customWidth="1"/>
    <col min="3840" max="3840" width="9" style="1" customWidth="1"/>
    <col min="3841" max="3841" width="6.85546875" style="1" customWidth="1"/>
    <col min="3842" max="3842" width="10.5703125" style="1" customWidth="1"/>
    <col min="3843" max="3843" width="12.28515625" style="1" customWidth="1"/>
    <col min="3844" max="3844" width="12.5703125" style="1" customWidth="1"/>
    <col min="3845" max="3845" width="1.5703125" style="1" customWidth="1"/>
    <col min="3846" max="3846" width="45.140625" style="1" customWidth="1"/>
    <col min="3847" max="3847" width="13.140625" style="1" customWidth="1"/>
    <col min="3848" max="3848" width="10.28515625" style="1" bestFit="1" customWidth="1"/>
    <col min="3849" max="3849" width="16.28515625" style="1" bestFit="1" customWidth="1"/>
    <col min="3850" max="3850" width="11.28515625" style="1" bestFit="1" customWidth="1"/>
    <col min="3851" max="4083" width="9.140625" style="1"/>
    <col min="4084" max="4084" width="5.140625" style="1" customWidth="1"/>
    <col min="4085" max="4085" width="33.5703125" style="1" customWidth="1"/>
    <col min="4086" max="4086" width="25.85546875" style="1" customWidth="1"/>
    <col min="4087" max="4087" width="0" style="1" hidden="1" customWidth="1"/>
    <col min="4088" max="4088" width="14.85546875" style="1" customWidth="1"/>
    <col min="4089" max="4089" width="13.85546875" style="1" customWidth="1"/>
    <col min="4090" max="4090" width="12.140625" style="1" customWidth="1"/>
    <col min="4091" max="4091" width="13.7109375" style="1" customWidth="1"/>
    <col min="4092" max="4092" width="8.5703125" style="1" customWidth="1"/>
    <col min="4093" max="4093" width="13" style="1" customWidth="1"/>
    <col min="4094" max="4094" width="9" style="1" customWidth="1"/>
    <col min="4095" max="4095" width="6.7109375" style="1" customWidth="1"/>
    <col min="4096" max="4096" width="9" style="1" customWidth="1"/>
    <col min="4097" max="4097" width="6.85546875" style="1" customWidth="1"/>
    <col min="4098" max="4098" width="10.5703125" style="1" customWidth="1"/>
    <col min="4099" max="4099" width="12.28515625" style="1" customWidth="1"/>
    <col min="4100" max="4100" width="12.5703125" style="1" customWidth="1"/>
    <col min="4101" max="4101" width="1.5703125" style="1" customWidth="1"/>
    <col min="4102" max="4102" width="45.140625" style="1" customWidth="1"/>
    <col min="4103" max="4103" width="13.140625" style="1" customWidth="1"/>
    <col min="4104" max="4104" width="10.28515625" style="1" bestFit="1" customWidth="1"/>
    <col min="4105" max="4105" width="16.28515625" style="1" bestFit="1" customWidth="1"/>
    <col min="4106" max="4106" width="11.28515625" style="1" bestFit="1" customWidth="1"/>
    <col min="4107" max="4339" width="9.140625" style="1"/>
    <col min="4340" max="4340" width="5.140625" style="1" customWidth="1"/>
    <col min="4341" max="4341" width="33.5703125" style="1" customWidth="1"/>
    <col min="4342" max="4342" width="25.85546875" style="1" customWidth="1"/>
    <col min="4343" max="4343" width="0" style="1" hidden="1" customWidth="1"/>
    <col min="4344" max="4344" width="14.85546875" style="1" customWidth="1"/>
    <col min="4345" max="4345" width="13.85546875" style="1" customWidth="1"/>
    <col min="4346" max="4346" width="12.140625" style="1" customWidth="1"/>
    <col min="4347" max="4347" width="13.7109375" style="1" customWidth="1"/>
    <col min="4348" max="4348" width="8.5703125" style="1" customWidth="1"/>
    <col min="4349" max="4349" width="13" style="1" customWidth="1"/>
    <col min="4350" max="4350" width="9" style="1" customWidth="1"/>
    <col min="4351" max="4351" width="6.7109375" style="1" customWidth="1"/>
    <col min="4352" max="4352" width="9" style="1" customWidth="1"/>
    <col min="4353" max="4353" width="6.85546875" style="1" customWidth="1"/>
    <col min="4354" max="4354" width="10.5703125" style="1" customWidth="1"/>
    <col min="4355" max="4355" width="12.28515625" style="1" customWidth="1"/>
    <col min="4356" max="4356" width="12.5703125" style="1" customWidth="1"/>
    <col min="4357" max="4357" width="1.5703125" style="1" customWidth="1"/>
    <col min="4358" max="4358" width="45.140625" style="1" customWidth="1"/>
    <col min="4359" max="4359" width="13.140625" style="1" customWidth="1"/>
    <col min="4360" max="4360" width="10.28515625" style="1" bestFit="1" customWidth="1"/>
    <col min="4361" max="4361" width="16.28515625" style="1" bestFit="1" customWidth="1"/>
    <col min="4362" max="4362" width="11.28515625" style="1" bestFit="1" customWidth="1"/>
    <col min="4363" max="4595" width="9.140625" style="1"/>
    <col min="4596" max="4596" width="5.140625" style="1" customWidth="1"/>
    <col min="4597" max="4597" width="33.5703125" style="1" customWidth="1"/>
    <col min="4598" max="4598" width="25.85546875" style="1" customWidth="1"/>
    <col min="4599" max="4599" width="0" style="1" hidden="1" customWidth="1"/>
    <col min="4600" max="4600" width="14.85546875" style="1" customWidth="1"/>
    <col min="4601" max="4601" width="13.85546875" style="1" customWidth="1"/>
    <col min="4602" max="4602" width="12.140625" style="1" customWidth="1"/>
    <col min="4603" max="4603" width="13.7109375" style="1" customWidth="1"/>
    <col min="4604" max="4604" width="8.5703125" style="1" customWidth="1"/>
    <col min="4605" max="4605" width="13" style="1" customWidth="1"/>
    <col min="4606" max="4606" width="9" style="1" customWidth="1"/>
    <col min="4607" max="4607" width="6.7109375" style="1" customWidth="1"/>
    <col min="4608" max="4608" width="9" style="1" customWidth="1"/>
    <col min="4609" max="4609" width="6.85546875" style="1" customWidth="1"/>
    <col min="4610" max="4610" width="10.5703125" style="1" customWidth="1"/>
    <col min="4611" max="4611" width="12.28515625" style="1" customWidth="1"/>
    <col min="4612" max="4612" width="12.5703125" style="1" customWidth="1"/>
    <col min="4613" max="4613" width="1.5703125" style="1" customWidth="1"/>
    <col min="4614" max="4614" width="45.140625" style="1" customWidth="1"/>
    <col min="4615" max="4615" width="13.140625" style="1" customWidth="1"/>
    <col min="4616" max="4616" width="10.28515625" style="1" bestFit="1" customWidth="1"/>
    <col min="4617" max="4617" width="16.28515625" style="1" bestFit="1" customWidth="1"/>
    <col min="4618" max="4618" width="11.28515625" style="1" bestFit="1" customWidth="1"/>
    <col min="4619" max="4851" width="9.140625" style="1"/>
    <col min="4852" max="4852" width="5.140625" style="1" customWidth="1"/>
    <col min="4853" max="4853" width="33.5703125" style="1" customWidth="1"/>
    <col min="4854" max="4854" width="25.85546875" style="1" customWidth="1"/>
    <col min="4855" max="4855" width="0" style="1" hidden="1" customWidth="1"/>
    <col min="4856" max="4856" width="14.85546875" style="1" customWidth="1"/>
    <col min="4857" max="4857" width="13.85546875" style="1" customWidth="1"/>
    <col min="4858" max="4858" width="12.140625" style="1" customWidth="1"/>
    <col min="4859" max="4859" width="13.7109375" style="1" customWidth="1"/>
    <col min="4860" max="4860" width="8.5703125" style="1" customWidth="1"/>
    <col min="4861" max="4861" width="13" style="1" customWidth="1"/>
    <col min="4862" max="4862" width="9" style="1" customWidth="1"/>
    <col min="4863" max="4863" width="6.7109375" style="1" customWidth="1"/>
    <col min="4864" max="4864" width="9" style="1" customWidth="1"/>
    <col min="4865" max="4865" width="6.85546875" style="1" customWidth="1"/>
    <col min="4866" max="4866" width="10.5703125" style="1" customWidth="1"/>
    <col min="4867" max="4867" width="12.28515625" style="1" customWidth="1"/>
    <col min="4868" max="4868" width="12.5703125" style="1" customWidth="1"/>
    <col min="4869" max="4869" width="1.5703125" style="1" customWidth="1"/>
    <col min="4870" max="4870" width="45.140625" style="1" customWidth="1"/>
    <col min="4871" max="4871" width="13.140625" style="1" customWidth="1"/>
    <col min="4872" max="4872" width="10.28515625" style="1" bestFit="1" customWidth="1"/>
    <col min="4873" max="4873" width="16.28515625" style="1" bestFit="1" customWidth="1"/>
    <col min="4874" max="4874" width="11.28515625" style="1" bestFit="1" customWidth="1"/>
    <col min="4875" max="5107" width="9.140625" style="1"/>
    <col min="5108" max="5108" width="5.140625" style="1" customWidth="1"/>
    <col min="5109" max="5109" width="33.5703125" style="1" customWidth="1"/>
    <col min="5110" max="5110" width="25.85546875" style="1" customWidth="1"/>
    <col min="5111" max="5111" width="0" style="1" hidden="1" customWidth="1"/>
    <col min="5112" max="5112" width="14.85546875" style="1" customWidth="1"/>
    <col min="5113" max="5113" width="13.85546875" style="1" customWidth="1"/>
    <col min="5114" max="5114" width="12.140625" style="1" customWidth="1"/>
    <col min="5115" max="5115" width="13.7109375" style="1" customWidth="1"/>
    <col min="5116" max="5116" width="8.5703125" style="1" customWidth="1"/>
    <col min="5117" max="5117" width="13" style="1" customWidth="1"/>
    <col min="5118" max="5118" width="9" style="1" customWidth="1"/>
    <col min="5119" max="5119" width="6.7109375" style="1" customWidth="1"/>
    <col min="5120" max="5120" width="9" style="1" customWidth="1"/>
    <col min="5121" max="5121" width="6.85546875" style="1" customWidth="1"/>
    <col min="5122" max="5122" width="10.5703125" style="1" customWidth="1"/>
    <col min="5123" max="5123" width="12.28515625" style="1" customWidth="1"/>
    <col min="5124" max="5124" width="12.5703125" style="1" customWidth="1"/>
    <col min="5125" max="5125" width="1.5703125" style="1" customWidth="1"/>
    <col min="5126" max="5126" width="45.140625" style="1" customWidth="1"/>
    <col min="5127" max="5127" width="13.140625" style="1" customWidth="1"/>
    <col min="5128" max="5128" width="10.28515625" style="1" bestFit="1" customWidth="1"/>
    <col min="5129" max="5129" width="16.28515625" style="1" bestFit="1" customWidth="1"/>
    <col min="5130" max="5130" width="11.28515625" style="1" bestFit="1" customWidth="1"/>
    <col min="5131" max="5363" width="9.140625" style="1"/>
    <col min="5364" max="5364" width="5.140625" style="1" customWidth="1"/>
    <col min="5365" max="5365" width="33.5703125" style="1" customWidth="1"/>
    <col min="5366" max="5366" width="25.85546875" style="1" customWidth="1"/>
    <col min="5367" max="5367" width="0" style="1" hidden="1" customWidth="1"/>
    <col min="5368" max="5368" width="14.85546875" style="1" customWidth="1"/>
    <col min="5369" max="5369" width="13.85546875" style="1" customWidth="1"/>
    <col min="5370" max="5370" width="12.140625" style="1" customWidth="1"/>
    <col min="5371" max="5371" width="13.7109375" style="1" customWidth="1"/>
    <col min="5372" max="5372" width="8.5703125" style="1" customWidth="1"/>
    <col min="5373" max="5373" width="13" style="1" customWidth="1"/>
    <col min="5374" max="5374" width="9" style="1" customWidth="1"/>
    <col min="5375" max="5375" width="6.7109375" style="1" customWidth="1"/>
    <col min="5376" max="5376" width="9" style="1" customWidth="1"/>
    <col min="5377" max="5377" width="6.85546875" style="1" customWidth="1"/>
    <col min="5378" max="5378" width="10.5703125" style="1" customWidth="1"/>
    <col min="5379" max="5379" width="12.28515625" style="1" customWidth="1"/>
    <col min="5380" max="5380" width="12.5703125" style="1" customWidth="1"/>
    <col min="5381" max="5381" width="1.5703125" style="1" customWidth="1"/>
    <col min="5382" max="5382" width="45.140625" style="1" customWidth="1"/>
    <col min="5383" max="5383" width="13.140625" style="1" customWidth="1"/>
    <col min="5384" max="5384" width="10.28515625" style="1" bestFit="1" customWidth="1"/>
    <col min="5385" max="5385" width="16.28515625" style="1" bestFit="1" customWidth="1"/>
    <col min="5386" max="5386" width="11.28515625" style="1" bestFit="1" customWidth="1"/>
    <col min="5387" max="5619" width="9.140625" style="1"/>
    <col min="5620" max="5620" width="5.140625" style="1" customWidth="1"/>
    <col min="5621" max="5621" width="33.5703125" style="1" customWidth="1"/>
    <col min="5622" max="5622" width="25.85546875" style="1" customWidth="1"/>
    <col min="5623" max="5623" width="0" style="1" hidden="1" customWidth="1"/>
    <col min="5624" max="5624" width="14.85546875" style="1" customWidth="1"/>
    <col min="5625" max="5625" width="13.85546875" style="1" customWidth="1"/>
    <col min="5626" max="5626" width="12.140625" style="1" customWidth="1"/>
    <col min="5627" max="5627" width="13.7109375" style="1" customWidth="1"/>
    <col min="5628" max="5628" width="8.5703125" style="1" customWidth="1"/>
    <col min="5629" max="5629" width="13" style="1" customWidth="1"/>
    <col min="5630" max="5630" width="9" style="1" customWidth="1"/>
    <col min="5631" max="5631" width="6.7109375" style="1" customWidth="1"/>
    <col min="5632" max="5632" width="9" style="1" customWidth="1"/>
    <col min="5633" max="5633" width="6.85546875" style="1" customWidth="1"/>
    <col min="5634" max="5634" width="10.5703125" style="1" customWidth="1"/>
    <col min="5635" max="5635" width="12.28515625" style="1" customWidth="1"/>
    <col min="5636" max="5636" width="12.5703125" style="1" customWidth="1"/>
    <col min="5637" max="5637" width="1.5703125" style="1" customWidth="1"/>
    <col min="5638" max="5638" width="45.140625" style="1" customWidth="1"/>
    <col min="5639" max="5639" width="13.140625" style="1" customWidth="1"/>
    <col min="5640" max="5640" width="10.28515625" style="1" bestFit="1" customWidth="1"/>
    <col min="5641" max="5641" width="16.28515625" style="1" bestFit="1" customWidth="1"/>
    <col min="5642" max="5642" width="11.28515625" style="1" bestFit="1" customWidth="1"/>
    <col min="5643" max="5875" width="9.140625" style="1"/>
    <col min="5876" max="5876" width="5.140625" style="1" customWidth="1"/>
    <col min="5877" max="5877" width="33.5703125" style="1" customWidth="1"/>
    <col min="5878" max="5878" width="25.85546875" style="1" customWidth="1"/>
    <col min="5879" max="5879" width="0" style="1" hidden="1" customWidth="1"/>
    <col min="5880" max="5880" width="14.85546875" style="1" customWidth="1"/>
    <col min="5881" max="5881" width="13.85546875" style="1" customWidth="1"/>
    <col min="5882" max="5882" width="12.140625" style="1" customWidth="1"/>
    <col min="5883" max="5883" width="13.7109375" style="1" customWidth="1"/>
    <col min="5884" max="5884" width="8.5703125" style="1" customWidth="1"/>
    <col min="5885" max="5885" width="13" style="1" customWidth="1"/>
    <col min="5886" max="5886" width="9" style="1" customWidth="1"/>
    <col min="5887" max="5887" width="6.7109375" style="1" customWidth="1"/>
    <col min="5888" max="5888" width="9" style="1" customWidth="1"/>
    <col min="5889" max="5889" width="6.85546875" style="1" customWidth="1"/>
    <col min="5890" max="5890" width="10.5703125" style="1" customWidth="1"/>
    <col min="5891" max="5891" width="12.28515625" style="1" customWidth="1"/>
    <col min="5892" max="5892" width="12.5703125" style="1" customWidth="1"/>
    <col min="5893" max="5893" width="1.5703125" style="1" customWidth="1"/>
    <col min="5894" max="5894" width="45.140625" style="1" customWidth="1"/>
    <col min="5895" max="5895" width="13.140625" style="1" customWidth="1"/>
    <col min="5896" max="5896" width="10.28515625" style="1" bestFit="1" customWidth="1"/>
    <col min="5897" max="5897" width="16.28515625" style="1" bestFit="1" customWidth="1"/>
    <col min="5898" max="5898" width="11.28515625" style="1" bestFit="1" customWidth="1"/>
    <col min="5899" max="6131" width="9.140625" style="1"/>
    <col min="6132" max="6132" width="5.140625" style="1" customWidth="1"/>
    <col min="6133" max="6133" width="33.5703125" style="1" customWidth="1"/>
    <col min="6134" max="6134" width="25.85546875" style="1" customWidth="1"/>
    <col min="6135" max="6135" width="0" style="1" hidden="1" customWidth="1"/>
    <col min="6136" max="6136" width="14.85546875" style="1" customWidth="1"/>
    <col min="6137" max="6137" width="13.85546875" style="1" customWidth="1"/>
    <col min="6138" max="6138" width="12.140625" style="1" customWidth="1"/>
    <col min="6139" max="6139" width="13.7109375" style="1" customWidth="1"/>
    <col min="6140" max="6140" width="8.5703125" style="1" customWidth="1"/>
    <col min="6141" max="6141" width="13" style="1" customWidth="1"/>
    <col min="6142" max="6142" width="9" style="1" customWidth="1"/>
    <col min="6143" max="6143" width="6.7109375" style="1" customWidth="1"/>
    <col min="6144" max="6144" width="9" style="1" customWidth="1"/>
    <col min="6145" max="6145" width="6.85546875" style="1" customWidth="1"/>
    <col min="6146" max="6146" width="10.5703125" style="1" customWidth="1"/>
    <col min="6147" max="6147" width="12.28515625" style="1" customWidth="1"/>
    <col min="6148" max="6148" width="12.5703125" style="1" customWidth="1"/>
    <col min="6149" max="6149" width="1.5703125" style="1" customWidth="1"/>
    <col min="6150" max="6150" width="45.140625" style="1" customWidth="1"/>
    <col min="6151" max="6151" width="13.140625" style="1" customWidth="1"/>
    <col min="6152" max="6152" width="10.28515625" style="1" bestFit="1" customWidth="1"/>
    <col min="6153" max="6153" width="16.28515625" style="1" bestFit="1" customWidth="1"/>
    <col min="6154" max="6154" width="11.28515625" style="1" bestFit="1" customWidth="1"/>
    <col min="6155" max="6387" width="9.140625" style="1"/>
    <col min="6388" max="6388" width="5.140625" style="1" customWidth="1"/>
    <col min="6389" max="6389" width="33.5703125" style="1" customWidth="1"/>
    <col min="6390" max="6390" width="25.85546875" style="1" customWidth="1"/>
    <col min="6391" max="6391" width="0" style="1" hidden="1" customWidth="1"/>
    <col min="6392" max="6392" width="14.85546875" style="1" customWidth="1"/>
    <col min="6393" max="6393" width="13.85546875" style="1" customWidth="1"/>
    <col min="6394" max="6394" width="12.140625" style="1" customWidth="1"/>
    <col min="6395" max="6395" width="13.7109375" style="1" customWidth="1"/>
    <col min="6396" max="6396" width="8.5703125" style="1" customWidth="1"/>
    <col min="6397" max="6397" width="13" style="1" customWidth="1"/>
    <col min="6398" max="6398" width="9" style="1" customWidth="1"/>
    <col min="6399" max="6399" width="6.7109375" style="1" customWidth="1"/>
    <col min="6400" max="6400" width="9" style="1" customWidth="1"/>
    <col min="6401" max="6401" width="6.85546875" style="1" customWidth="1"/>
    <col min="6402" max="6402" width="10.5703125" style="1" customWidth="1"/>
    <col min="6403" max="6403" width="12.28515625" style="1" customWidth="1"/>
    <col min="6404" max="6404" width="12.5703125" style="1" customWidth="1"/>
    <col min="6405" max="6405" width="1.5703125" style="1" customWidth="1"/>
    <col min="6406" max="6406" width="45.140625" style="1" customWidth="1"/>
    <col min="6407" max="6407" width="13.140625" style="1" customWidth="1"/>
    <col min="6408" max="6408" width="10.28515625" style="1" bestFit="1" customWidth="1"/>
    <col min="6409" max="6409" width="16.28515625" style="1" bestFit="1" customWidth="1"/>
    <col min="6410" max="6410" width="11.28515625" style="1" bestFit="1" customWidth="1"/>
    <col min="6411" max="6643" width="9.140625" style="1"/>
    <col min="6644" max="6644" width="5.140625" style="1" customWidth="1"/>
    <col min="6645" max="6645" width="33.5703125" style="1" customWidth="1"/>
    <col min="6646" max="6646" width="25.85546875" style="1" customWidth="1"/>
    <col min="6647" max="6647" width="0" style="1" hidden="1" customWidth="1"/>
    <col min="6648" max="6648" width="14.85546875" style="1" customWidth="1"/>
    <col min="6649" max="6649" width="13.85546875" style="1" customWidth="1"/>
    <col min="6650" max="6650" width="12.140625" style="1" customWidth="1"/>
    <col min="6651" max="6651" width="13.7109375" style="1" customWidth="1"/>
    <col min="6652" max="6652" width="8.5703125" style="1" customWidth="1"/>
    <col min="6653" max="6653" width="13" style="1" customWidth="1"/>
    <col min="6654" max="6654" width="9" style="1" customWidth="1"/>
    <col min="6655" max="6655" width="6.7109375" style="1" customWidth="1"/>
    <col min="6656" max="6656" width="9" style="1" customWidth="1"/>
    <col min="6657" max="6657" width="6.85546875" style="1" customWidth="1"/>
    <col min="6658" max="6658" width="10.5703125" style="1" customWidth="1"/>
    <col min="6659" max="6659" width="12.28515625" style="1" customWidth="1"/>
    <col min="6660" max="6660" width="12.5703125" style="1" customWidth="1"/>
    <col min="6661" max="6661" width="1.5703125" style="1" customWidth="1"/>
    <col min="6662" max="6662" width="45.140625" style="1" customWidth="1"/>
    <col min="6663" max="6663" width="13.140625" style="1" customWidth="1"/>
    <col min="6664" max="6664" width="10.28515625" style="1" bestFit="1" customWidth="1"/>
    <col min="6665" max="6665" width="16.28515625" style="1" bestFit="1" customWidth="1"/>
    <col min="6666" max="6666" width="11.28515625" style="1" bestFit="1" customWidth="1"/>
    <col min="6667" max="6899" width="9.140625" style="1"/>
    <col min="6900" max="6900" width="5.140625" style="1" customWidth="1"/>
    <col min="6901" max="6901" width="33.5703125" style="1" customWidth="1"/>
    <col min="6902" max="6902" width="25.85546875" style="1" customWidth="1"/>
    <col min="6903" max="6903" width="0" style="1" hidden="1" customWidth="1"/>
    <col min="6904" max="6904" width="14.85546875" style="1" customWidth="1"/>
    <col min="6905" max="6905" width="13.85546875" style="1" customWidth="1"/>
    <col min="6906" max="6906" width="12.140625" style="1" customWidth="1"/>
    <col min="6907" max="6907" width="13.7109375" style="1" customWidth="1"/>
    <col min="6908" max="6908" width="8.5703125" style="1" customWidth="1"/>
    <col min="6909" max="6909" width="13" style="1" customWidth="1"/>
    <col min="6910" max="6910" width="9" style="1" customWidth="1"/>
    <col min="6911" max="6911" width="6.7109375" style="1" customWidth="1"/>
    <col min="6912" max="6912" width="9" style="1" customWidth="1"/>
    <col min="6913" max="6913" width="6.85546875" style="1" customWidth="1"/>
    <col min="6914" max="6914" width="10.5703125" style="1" customWidth="1"/>
    <col min="6915" max="6915" width="12.28515625" style="1" customWidth="1"/>
    <col min="6916" max="6916" width="12.5703125" style="1" customWidth="1"/>
    <col min="6917" max="6917" width="1.5703125" style="1" customWidth="1"/>
    <col min="6918" max="6918" width="45.140625" style="1" customWidth="1"/>
    <col min="6919" max="6919" width="13.140625" style="1" customWidth="1"/>
    <col min="6920" max="6920" width="10.28515625" style="1" bestFit="1" customWidth="1"/>
    <col min="6921" max="6921" width="16.28515625" style="1" bestFit="1" customWidth="1"/>
    <col min="6922" max="6922" width="11.28515625" style="1" bestFit="1" customWidth="1"/>
    <col min="6923" max="7155" width="9.140625" style="1"/>
    <col min="7156" max="7156" width="5.140625" style="1" customWidth="1"/>
    <col min="7157" max="7157" width="33.5703125" style="1" customWidth="1"/>
    <col min="7158" max="7158" width="25.85546875" style="1" customWidth="1"/>
    <col min="7159" max="7159" width="0" style="1" hidden="1" customWidth="1"/>
    <col min="7160" max="7160" width="14.85546875" style="1" customWidth="1"/>
    <col min="7161" max="7161" width="13.85546875" style="1" customWidth="1"/>
    <col min="7162" max="7162" width="12.140625" style="1" customWidth="1"/>
    <col min="7163" max="7163" width="13.7109375" style="1" customWidth="1"/>
    <col min="7164" max="7164" width="8.5703125" style="1" customWidth="1"/>
    <col min="7165" max="7165" width="13" style="1" customWidth="1"/>
    <col min="7166" max="7166" width="9" style="1" customWidth="1"/>
    <col min="7167" max="7167" width="6.7109375" style="1" customWidth="1"/>
    <col min="7168" max="7168" width="9" style="1" customWidth="1"/>
    <col min="7169" max="7169" width="6.85546875" style="1" customWidth="1"/>
    <col min="7170" max="7170" width="10.5703125" style="1" customWidth="1"/>
    <col min="7171" max="7171" width="12.28515625" style="1" customWidth="1"/>
    <col min="7172" max="7172" width="12.5703125" style="1" customWidth="1"/>
    <col min="7173" max="7173" width="1.5703125" style="1" customWidth="1"/>
    <col min="7174" max="7174" width="45.140625" style="1" customWidth="1"/>
    <col min="7175" max="7175" width="13.140625" style="1" customWidth="1"/>
    <col min="7176" max="7176" width="10.28515625" style="1" bestFit="1" customWidth="1"/>
    <col min="7177" max="7177" width="16.28515625" style="1" bestFit="1" customWidth="1"/>
    <col min="7178" max="7178" width="11.28515625" style="1" bestFit="1" customWidth="1"/>
    <col min="7179" max="7411" width="9.140625" style="1"/>
    <col min="7412" max="7412" width="5.140625" style="1" customWidth="1"/>
    <col min="7413" max="7413" width="33.5703125" style="1" customWidth="1"/>
    <col min="7414" max="7414" width="25.85546875" style="1" customWidth="1"/>
    <col min="7415" max="7415" width="0" style="1" hidden="1" customWidth="1"/>
    <col min="7416" max="7416" width="14.85546875" style="1" customWidth="1"/>
    <col min="7417" max="7417" width="13.85546875" style="1" customWidth="1"/>
    <col min="7418" max="7418" width="12.140625" style="1" customWidth="1"/>
    <col min="7419" max="7419" width="13.7109375" style="1" customWidth="1"/>
    <col min="7420" max="7420" width="8.5703125" style="1" customWidth="1"/>
    <col min="7421" max="7421" width="13" style="1" customWidth="1"/>
    <col min="7422" max="7422" width="9" style="1" customWidth="1"/>
    <col min="7423" max="7423" width="6.7109375" style="1" customWidth="1"/>
    <col min="7424" max="7424" width="9" style="1" customWidth="1"/>
    <col min="7425" max="7425" width="6.85546875" style="1" customWidth="1"/>
    <col min="7426" max="7426" width="10.5703125" style="1" customWidth="1"/>
    <col min="7427" max="7427" width="12.28515625" style="1" customWidth="1"/>
    <col min="7428" max="7428" width="12.5703125" style="1" customWidth="1"/>
    <col min="7429" max="7429" width="1.5703125" style="1" customWidth="1"/>
    <col min="7430" max="7430" width="45.140625" style="1" customWidth="1"/>
    <col min="7431" max="7431" width="13.140625" style="1" customWidth="1"/>
    <col min="7432" max="7432" width="10.28515625" style="1" bestFit="1" customWidth="1"/>
    <col min="7433" max="7433" width="16.28515625" style="1" bestFit="1" customWidth="1"/>
    <col min="7434" max="7434" width="11.28515625" style="1" bestFit="1" customWidth="1"/>
    <col min="7435" max="7667" width="9.140625" style="1"/>
    <col min="7668" max="7668" width="5.140625" style="1" customWidth="1"/>
    <col min="7669" max="7669" width="33.5703125" style="1" customWidth="1"/>
    <col min="7670" max="7670" width="25.85546875" style="1" customWidth="1"/>
    <col min="7671" max="7671" width="0" style="1" hidden="1" customWidth="1"/>
    <col min="7672" max="7672" width="14.85546875" style="1" customWidth="1"/>
    <col min="7673" max="7673" width="13.85546875" style="1" customWidth="1"/>
    <col min="7674" max="7674" width="12.140625" style="1" customWidth="1"/>
    <col min="7675" max="7675" width="13.7109375" style="1" customWidth="1"/>
    <col min="7676" max="7676" width="8.5703125" style="1" customWidth="1"/>
    <col min="7677" max="7677" width="13" style="1" customWidth="1"/>
    <col min="7678" max="7678" width="9" style="1" customWidth="1"/>
    <col min="7679" max="7679" width="6.7109375" style="1" customWidth="1"/>
    <col min="7680" max="7680" width="9" style="1" customWidth="1"/>
    <col min="7681" max="7681" width="6.85546875" style="1" customWidth="1"/>
    <col min="7682" max="7682" width="10.5703125" style="1" customWidth="1"/>
    <col min="7683" max="7683" width="12.28515625" style="1" customWidth="1"/>
    <col min="7684" max="7684" width="12.5703125" style="1" customWidth="1"/>
    <col min="7685" max="7685" width="1.5703125" style="1" customWidth="1"/>
    <col min="7686" max="7686" width="45.140625" style="1" customWidth="1"/>
    <col min="7687" max="7687" width="13.140625" style="1" customWidth="1"/>
    <col min="7688" max="7688" width="10.28515625" style="1" bestFit="1" customWidth="1"/>
    <col min="7689" max="7689" width="16.28515625" style="1" bestFit="1" customWidth="1"/>
    <col min="7690" max="7690" width="11.28515625" style="1" bestFit="1" customWidth="1"/>
    <col min="7691" max="7923" width="9.140625" style="1"/>
    <col min="7924" max="7924" width="5.140625" style="1" customWidth="1"/>
    <col min="7925" max="7925" width="33.5703125" style="1" customWidth="1"/>
    <col min="7926" max="7926" width="25.85546875" style="1" customWidth="1"/>
    <col min="7927" max="7927" width="0" style="1" hidden="1" customWidth="1"/>
    <col min="7928" max="7928" width="14.85546875" style="1" customWidth="1"/>
    <col min="7929" max="7929" width="13.85546875" style="1" customWidth="1"/>
    <col min="7930" max="7930" width="12.140625" style="1" customWidth="1"/>
    <col min="7931" max="7931" width="13.7109375" style="1" customWidth="1"/>
    <col min="7932" max="7932" width="8.5703125" style="1" customWidth="1"/>
    <col min="7933" max="7933" width="13" style="1" customWidth="1"/>
    <col min="7934" max="7934" width="9" style="1" customWidth="1"/>
    <col min="7935" max="7935" width="6.7109375" style="1" customWidth="1"/>
    <col min="7936" max="7936" width="9" style="1" customWidth="1"/>
    <col min="7937" max="7937" width="6.85546875" style="1" customWidth="1"/>
    <col min="7938" max="7938" width="10.5703125" style="1" customWidth="1"/>
    <col min="7939" max="7939" width="12.28515625" style="1" customWidth="1"/>
    <col min="7940" max="7940" width="12.5703125" style="1" customWidth="1"/>
    <col min="7941" max="7941" width="1.5703125" style="1" customWidth="1"/>
    <col min="7942" max="7942" width="45.140625" style="1" customWidth="1"/>
    <col min="7943" max="7943" width="13.140625" style="1" customWidth="1"/>
    <col min="7944" max="7944" width="10.28515625" style="1" bestFit="1" customWidth="1"/>
    <col min="7945" max="7945" width="16.28515625" style="1" bestFit="1" customWidth="1"/>
    <col min="7946" max="7946" width="11.28515625" style="1" bestFit="1" customWidth="1"/>
    <col min="7947" max="8179" width="9.140625" style="1"/>
    <col min="8180" max="8180" width="5.140625" style="1" customWidth="1"/>
    <col min="8181" max="8181" width="33.5703125" style="1" customWidth="1"/>
    <col min="8182" max="8182" width="25.85546875" style="1" customWidth="1"/>
    <col min="8183" max="8183" width="0" style="1" hidden="1" customWidth="1"/>
    <col min="8184" max="8184" width="14.85546875" style="1" customWidth="1"/>
    <col min="8185" max="8185" width="13.85546875" style="1" customWidth="1"/>
    <col min="8186" max="8186" width="12.140625" style="1" customWidth="1"/>
    <col min="8187" max="8187" width="13.7109375" style="1" customWidth="1"/>
    <col min="8188" max="8188" width="8.5703125" style="1" customWidth="1"/>
    <col min="8189" max="8189" width="13" style="1" customWidth="1"/>
    <col min="8190" max="8190" width="9" style="1" customWidth="1"/>
    <col min="8191" max="8191" width="6.7109375" style="1" customWidth="1"/>
    <col min="8192" max="8192" width="9" style="1" customWidth="1"/>
    <col min="8193" max="8193" width="6.85546875" style="1" customWidth="1"/>
    <col min="8194" max="8194" width="10.5703125" style="1" customWidth="1"/>
    <col min="8195" max="8195" width="12.28515625" style="1" customWidth="1"/>
    <col min="8196" max="8196" width="12.5703125" style="1" customWidth="1"/>
    <col min="8197" max="8197" width="1.5703125" style="1" customWidth="1"/>
    <col min="8198" max="8198" width="45.140625" style="1" customWidth="1"/>
    <col min="8199" max="8199" width="13.140625" style="1" customWidth="1"/>
    <col min="8200" max="8200" width="10.28515625" style="1" bestFit="1" customWidth="1"/>
    <col min="8201" max="8201" width="16.28515625" style="1" bestFit="1" customWidth="1"/>
    <col min="8202" max="8202" width="11.28515625" style="1" bestFit="1" customWidth="1"/>
    <col min="8203" max="8435" width="9.140625" style="1"/>
    <col min="8436" max="8436" width="5.140625" style="1" customWidth="1"/>
    <col min="8437" max="8437" width="33.5703125" style="1" customWidth="1"/>
    <col min="8438" max="8438" width="25.85546875" style="1" customWidth="1"/>
    <col min="8439" max="8439" width="0" style="1" hidden="1" customWidth="1"/>
    <col min="8440" max="8440" width="14.85546875" style="1" customWidth="1"/>
    <col min="8441" max="8441" width="13.85546875" style="1" customWidth="1"/>
    <col min="8442" max="8442" width="12.140625" style="1" customWidth="1"/>
    <col min="8443" max="8443" width="13.7109375" style="1" customWidth="1"/>
    <col min="8444" max="8444" width="8.5703125" style="1" customWidth="1"/>
    <col min="8445" max="8445" width="13" style="1" customWidth="1"/>
    <col min="8446" max="8446" width="9" style="1" customWidth="1"/>
    <col min="8447" max="8447" width="6.7109375" style="1" customWidth="1"/>
    <col min="8448" max="8448" width="9" style="1" customWidth="1"/>
    <col min="8449" max="8449" width="6.85546875" style="1" customWidth="1"/>
    <col min="8450" max="8450" width="10.5703125" style="1" customWidth="1"/>
    <col min="8451" max="8451" width="12.28515625" style="1" customWidth="1"/>
    <col min="8452" max="8452" width="12.5703125" style="1" customWidth="1"/>
    <col min="8453" max="8453" width="1.5703125" style="1" customWidth="1"/>
    <col min="8454" max="8454" width="45.140625" style="1" customWidth="1"/>
    <col min="8455" max="8455" width="13.140625" style="1" customWidth="1"/>
    <col min="8456" max="8456" width="10.28515625" style="1" bestFit="1" customWidth="1"/>
    <col min="8457" max="8457" width="16.28515625" style="1" bestFit="1" customWidth="1"/>
    <col min="8458" max="8458" width="11.28515625" style="1" bestFit="1" customWidth="1"/>
    <col min="8459" max="8691" width="9.140625" style="1"/>
    <col min="8692" max="8692" width="5.140625" style="1" customWidth="1"/>
    <col min="8693" max="8693" width="33.5703125" style="1" customWidth="1"/>
    <col min="8694" max="8694" width="25.85546875" style="1" customWidth="1"/>
    <col min="8695" max="8695" width="0" style="1" hidden="1" customWidth="1"/>
    <col min="8696" max="8696" width="14.85546875" style="1" customWidth="1"/>
    <col min="8697" max="8697" width="13.85546875" style="1" customWidth="1"/>
    <col min="8698" max="8698" width="12.140625" style="1" customWidth="1"/>
    <col min="8699" max="8699" width="13.7109375" style="1" customWidth="1"/>
    <col min="8700" max="8700" width="8.5703125" style="1" customWidth="1"/>
    <col min="8701" max="8701" width="13" style="1" customWidth="1"/>
    <col min="8702" max="8702" width="9" style="1" customWidth="1"/>
    <col min="8703" max="8703" width="6.7109375" style="1" customWidth="1"/>
    <col min="8704" max="8704" width="9" style="1" customWidth="1"/>
    <col min="8705" max="8705" width="6.85546875" style="1" customWidth="1"/>
    <col min="8706" max="8706" width="10.5703125" style="1" customWidth="1"/>
    <col min="8707" max="8707" width="12.28515625" style="1" customWidth="1"/>
    <col min="8708" max="8708" width="12.5703125" style="1" customWidth="1"/>
    <col min="8709" max="8709" width="1.5703125" style="1" customWidth="1"/>
    <col min="8710" max="8710" width="45.140625" style="1" customWidth="1"/>
    <col min="8711" max="8711" width="13.140625" style="1" customWidth="1"/>
    <col min="8712" max="8712" width="10.28515625" style="1" bestFit="1" customWidth="1"/>
    <col min="8713" max="8713" width="16.28515625" style="1" bestFit="1" customWidth="1"/>
    <col min="8714" max="8714" width="11.28515625" style="1" bestFit="1" customWidth="1"/>
    <col min="8715" max="8947" width="9.140625" style="1"/>
    <col min="8948" max="8948" width="5.140625" style="1" customWidth="1"/>
    <col min="8949" max="8949" width="33.5703125" style="1" customWidth="1"/>
    <col min="8950" max="8950" width="25.85546875" style="1" customWidth="1"/>
    <col min="8951" max="8951" width="0" style="1" hidden="1" customWidth="1"/>
    <col min="8952" max="8952" width="14.85546875" style="1" customWidth="1"/>
    <col min="8953" max="8953" width="13.85546875" style="1" customWidth="1"/>
    <col min="8954" max="8954" width="12.140625" style="1" customWidth="1"/>
    <col min="8955" max="8955" width="13.7109375" style="1" customWidth="1"/>
    <col min="8956" max="8956" width="8.5703125" style="1" customWidth="1"/>
    <col min="8957" max="8957" width="13" style="1" customWidth="1"/>
    <col min="8958" max="8958" width="9" style="1" customWidth="1"/>
    <col min="8959" max="8959" width="6.7109375" style="1" customWidth="1"/>
    <col min="8960" max="8960" width="9" style="1" customWidth="1"/>
    <col min="8961" max="8961" width="6.85546875" style="1" customWidth="1"/>
    <col min="8962" max="8962" width="10.5703125" style="1" customWidth="1"/>
    <col min="8963" max="8963" width="12.28515625" style="1" customWidth="1"/>
    <col min="8964" max="8964" width="12.5703125" style="1" customWidth="1"/>
    <col min="8965" max="8965" width="1.5703125" style="1" customWidth="1"/>
    <col min="8966" max="8966" width="45.140625" style="1" customWidth="1"/>
    <col min="8967" max="8967" width="13.140625" style="1" customWidth="1"/>
    <col min="8968" max="8968" width="10.28515625" style="1" bestFit="1" customWidth="1"/>
    <col min="8969" max="8969" width="16.28515625" style="1" bestFit="1" customWidth="1"/>
    <col min="8970" max="8970" width="11.28515625" style="1" bestFit="1" customWidth="1"/>
    <col min="8971" max="9203" width="9.140625" style="1"/>
    <col min="9204" max="9204" width="5.140625" style="1" customWidth="1"/>
    <col min="9205" max="9205" width="33.5703125" style="1" customWidth="1"/>
    <col min="9206" max="9206" width="25.85546875" style="1" customWidth="1"/>
    <col min="9207" max="9207" width="0" style="1" hidden="1" customWidth="1"/>
    <col min="9208" max="9208" width="14.85546875" style="1" customWidth="1"/>
    <col min="9209" max="9209" width="13.85546875" style="1" customWidth="1"/>
    <col min="9210" max="9210" width="12.140625" style="1" customWidth="1"/>
    <col min="9211" max="9211" width="13.7109375" style="1" customWidth="1"/>
    <col min="9212" max="9212" width="8.5703125" style="1" customWidth="1"/>
    <col min="9213" max="9213" width="13" style="1" customWidth="1"/>
    <col min="9214" max="9214" width="9" style="1" customWidth="1"/>
    <col min="9215" max="9215" width="6.7109375" style="1" customWidth="1"/>
    <col min="9216" max="9216" width="9" style="1" customWidth="1"/>
    <col min="9217" max="9217" width="6.85546875" style="1" customWidth="1"/>
    <col min="9218" max="9218" width="10.5703125" style="1" customWidth="1"/>
    <col min="9219" max="9219" width="12.28515625" style="1" customWidth="1"/>
    <col min="9220" max="9220" width="12.5703125" style="1" customWidth="1"/>
    <col min="9221" max="9221" width="1.5703125" style="1" customWidth="1"/>
    <col min="9222" max="9222" width="45.140625" style="1" customWidth="1"/>
    <col min="9223" max="9223" width="13.140625" style="1" customWidth="1"/>
    <col min="9224" max="9224" width="10.28515625" style="1" bestFit="1" customWidth="1"/>
    <col min="9225" max="9225" width="16.28515625" style="1" bestFit="1" customWidth="1"/>
    <col min="9226" max="9226" width="11.28515625" style="1" bestFit="1" customWidth="1"/>
    <col min="9227" max="9459" width="9.140625" style="1"/>
    <col min="9460" max="9460" width="5.140625" style="1" customWidth="1"/>
    <col min="9461" max="9461" width="33.5703125" style="1" customWidth="1"/>
    <col min="9462" max="9462" width="25.85546875" style="1" customWidth="1"/>
    <col min="9463" max="9463" width="0" style="1" hidden="1" customWidth="1"/>
    <col min="9464" max="9464" width="14.85546875" style="1" customWidth="1"/>
    <col min="9465" max="9465" width="13.85546875" style="1" customWidth="1"/>
    <col min="9466" max="9466" width="12.140625" style="1" customWidth="1"/>
    <col min="9467" max="9467" width="13.7109375" style="1" customWidth="1"/>
    <col min="9468" max="9468" width="8.5703125" style="1" customWidth="1"/>
    <col min="9469" max="9469" width="13" style="1" customWidth="1"/>
    <col min="9470" max="9470" width="9" style="1" customWidth="1"/>
    <col min="9471" max="9471" width="6.7109375" style="1" customWidth="1"/>
    <col min="9472" max="9472" width="9" style="1" customWidth="1"/>
    <col min="9473" max="9473" width="6.85546875" style="1" customWidth="1"/>
    <col min="9474" max="9474" width="10.5703125" style="1" customWidth="1"/>
    <col min="9475" max="9475" width="12.28515625" style="1" customWidth="1"/>
    <col min="9476" max="9476" width="12.5703125" style="1" customWidth="1"/>
    <col min="9477" max="9477" width="1.5703125" style="1" customWidth="1"/>
    <col min="9478" max="9478" width="45.140625" style="1" customWidth="1"/>
    <col min="9479" max="9479" width="13.140625" style="1" customWidth="1"/>
    <col min="9480" max="9480" width="10.28515625" style="1" bestFit="1" customWidth="1"/>
    <col min="9481" max="9481" width="16.28515625" style="1" bestFit="1" customWidth="1"/>
    <col min="9482" max="9482" width="11.28515625" style="1" bestFit="1" customWidth="1"/>
    <col min="9483" max="9715" width="9.140625" style="1"/>
    <col min="9716" max="9716" width="5.140625" style="1" customWidth="1"/>
    <col min="9717" max="9717" width="33.5703125" style="1" customWidth="1"/>
    <col min="9718" max="9718" width="25.85546875" style="1" customWidth="1"/>
    <col min="9719" max="9719" width="0" style="1" hidden="1" customWidth="1"/>
    <col min="9720" max="9720" width="14.85546875" style="1" customWidth="1"/>
    <col min="9721" max="9721" width="13.85546875" style="1" customWidth="1"/>
    <col min="9722" max="9722" width="12.140625" style="1" customWidth="1"/>
    <col min="9723" max="9723" width="13.7109375" style="1" customWidth="1"/>
    <col min="9724" max="9724" width="8.5703125" style="1" customWidth="1"/>
    <col min="9725" max="9725" width="13" style="1" customWidth="1"/>
    <col min="9726" max="9726" width="9" style="1" customWidth="1"/>
    <col min="9727" max="9727" width="6.7109375" style="1" customWidth="1"/>
    <col min="9728" max="9728" width="9" style="1" customWidth="1"/>
    <col min="9729" max="9729" width="6.85546875" style="1" customWidth="1"/>
    <col min="9730" max="9730" width="10.5703125" style="1" customWidth="1"/>
    <col min="9731" max="9731" width="12.28515625" style="1" customWidth="1"/>
    <col min="9732" max="9732" width="12.5703125" style="1" customWidth="1"/>
    <col min="9733" max="9733" width="1.5703125" style="1" customWidth="1"/>
    <col min="9734" max="9734" width="45.140625" style="1" customWidth="1"/>
    <col min="9735" max="9735" width="13.140625" style="1" customWidth="1"/>
    <col min="9736" max="9736" width="10.28515625" style="1" bestFit="1" customWidth="1"/>
    <col min="9737" max="9737" width="16.28515625" style="1" bestFit="1" customWidth="1"/>
    <col min="9738" max="9738" width="11.28515625" style="1" bestFit="1" customWidth="1"/>
    <col min="9739" max="9971" width="9.140625" style="1"/>
    <col min="9972" max="9972" width="5.140625" style="1" customWidth="1"/>
    <col min="9973" max="9973" width="33.5703125" style="1" customWidth="1"/>
    <col min="9974" max="9974" width="25.85546875" style="1" customWidth="1"/>
    <col min="9975" max="9975" width="0" style="1" hidden="1" customWidth="1"/>
    <col min="9976" max="9976" width="14.85546875" style="1" customWidth="1"/>
    <col min="9977" max="9977" width="13.85546875" style="1" customWidth="1"/>
    <col min="9978" max="9978" width="12.140625" style="1" customWidth="1"/>
    <col min="9979" max="9979" width="13.7109375" style="1" customWidth="1"/>
    <col min="9980" max="9980" width="8.5703125" style="1" customWidth="1"/>
    <col min="9981" max="9981" width="13" style="1" customWidth="1"/>
    <col min="9982" max="9982" width="9" style="1" customWidth="1"/>
    <col min="9983" max="9983" width="6.7109375" style="1" customWidth="1"/>
    <col min="9984" max="9984" width="9" style="1" customWidth="1"/>
    <col min="9985" max="9985" width="6.85546875" style="1" customWidth="1"/>
    <col min="9986" max="9986" width="10.5703125" style="1" customWidth="1"/>
    <col min="9987" max="9987" width="12.28515625" style="1" customWidth="1"/>
    <col min="9988" max="9988" width="12.5703125" style="1" customWidth="1"/>
    <col min="9989" max="9989" width="1.5703125" style="1" customWidth="1"/>
    <col min="9990" max="9990" width="45.140625" style="1" customWidth="1"/>
    <col min="9991" max="9991" width="13.140625" style="1" customWidth="1"/>
    <col min="9992" max="9992" width="10.28515625" style="1" bestFit="1" customWidth="1"/>
    <col min="9993" max="9993" width="16.28515625" style="1" bestFit="1" customWidth="1"/>
    <col min="9994" max="9994" width="11.28515625" style="1" bestFit="1" customWidth="1"/>
    <col min="9995" max="10227" width="9.140625" style="1"/>
    <col min="10228" max="10228" width="5.140625" style="1" customWidth="1"/>
    <col min="10229" max="10229" width="33.5703125" style="1" customWidth="1"/>
    <col min="10230" max="10230" width="25.85546875" style="1" customWidth="1"/>
    <col min="10231" max="10231" width="0" style="1" hidden="1" customWidth="1"/>
    <col min="10232" max="10232" width="14.85546875" style="1" customWidth="1"/>
    <col min="10233" max="10233" width="13.85546875" style="1" customWidth="1"/>
    <col min="10234" max="10234" width="12.140625" style="1" customWidth="1"/>
    <col min="10235" max="10235" width="13.7109375" style="1" customWidth="1"/>
    <col min="10236" max="10236" width="8.5703125" style="1" customWidth="1"/>
    <col min="10237" max="10237" width="13" style="1" customWidth="1"/>
    <col min="10238" max="10238" width="9" style="1" customWidth="1"/>
    <col min="10239" max="10239" width="6.7109375" style="1" customWidth="1"/>
    <col min="10240" max="10240" width="9" style="1" customWidth="1"/>
    <col min="10241" max="10241" width="6.85546875" style="1" customWidth="1"/>
    <col min="10242" max="10242" width="10.5703125" style="1" customWidth="1"/>
    <col min="10243" max="10243" width="12.28515625" style="1" customWidth="1"/>
    <col min="10244" max="10244" width="12.5703125" style="1" customWidth="1"/>
    <col min="10245" max="10245" width="1.5703125" style="1" customWidth="1"/>
    <col min="10246" max="10246" width="45.140625" style="1" customWidth="1"/>
    <col min="10247" max="10247" width="13.140625" style="1" customWidth="1"/>
    <col min="10248" max="10248" width="10.28515625" style="1" bestFit="1" customWidth="1"/>
    <col min="10249" max="10249" width="16.28515625" style="1" bestFit="1" customWidth="1"/>
    <col min="10250" max="10250" width="11.28515625" style="1" bestFit="1" customWidth="1"/>
    <col min="10251" max="10483" width="9.140625" style="1"/>
    <col min="10484" max="10484" width="5.140625" style="1" customWidth="1"/>
    <col min="10485" max="10485" width="33.5703125" style="1" customWidth="1"/>
    <col min="10486" max="10486" width="25.85546875" style="1" customWidth="1"/>
    <col min="10487" max="10487" width="0" style="1" hidden="1" customWidth="1"/>
    <col min="10488" max="10488" width="14.85546875" style="1" customWidth="1"/>
    <col min="10489" max="10489" width="13.85546875" style="1" customWidth="1"/>
    <col min="10490" max="10490" width="12.140625" style="1" customWidth="1"/>
    <col min="10491" max="10491" width="13.7109375" style="1" customWidth="1"/>
    <col min="10492" max="10492" width="8.5703125" style="1" customWidth="1"/>
    <col min="10493" max="10493" width="13" style="1" customWidth="1"/>
    <col min="10494" max="10494" width="9" style="1" customWidth="1"/>
    <col min="10495" max="10495" width="6.7109375" style="1" customWidth="1"/>
    <col min="10496" max="10496" width="9" style="1" customWidth="1"/>
    <col min="10497" max="10497" width="6.85546875" style="1" customWidth="1"/>
    <col min="10498" max="10498" width="10.5703125" style="1" customWidth="1"/>
    <col min="10499" max="10499" width="12.28515625" style="1" customWidth="1"/>
    <col min="10500" max="10500" width="12.5703125" style="1" customWidth="1"/>
    <col min="10501" max="10501" width="1.5703125" style="1" customWidth="1"/>
    <col min="10502" max="10502" width="45.140625" style="1" customWidth="1"/>
    <col min="10503" max="10503" width="13.140625" style="1" customWidth="1"/>
    <col min="10504" max="10504" width="10.28515625" style="1" bestFit="1" customWidth="1"/>
    <col min="10505" max="10505" width="16.28515625" style="1" bestFit="1" customWidth="1"/>
    <col min="10506" max="10506" width="11.28515625" style="1" bestFit="1" customWidth="1"/>
    <col min="10507" max="10739" width="9.140625" style="1"/>
    <col min="10740" max="10740" width="5.140625" style="1" customWidth="1"/>
    <col min="10741" max="10741" width="33.5703125" style="1" customWidth="1"/>
    <col min="10742" max="10742" width="25.85546875" style="1" customWidth="1"/>
    <col min="10743" max="10743" width="0" style="1" hidden="1" customWidth="1"/>
    <col min="10744" max="10744" width="14.85546875" style="1" customWidth="1"/>
    <col min="10745" max="10745" width="13.85546875" style="1" customWidth="1"/>
    <col min="10746" max="10746" width="12.140625" style="1" customWidth="1"/>
    <col min="10747" max="10747" width="13.7109375" style="1" customWidth="1"/>
    <col min="10748" max="10748" width="8.5703125" style="1" customWidth="1"/>
    <col min="10749" max="10749" width="13" style="1" customWidth="1"/>
    <col min="10750" max="10750" width="9" style="1" customWidth="1"/>
    <col min="10751" max="10751" width="6.7109375" style="1" customWidth="1"/>
    <col min="10752" max="10752" width="9" style="1" customWidth="1"/>
    <col min="10753" max="10753" width="6.85546875" style="1" customWidth="1"/>
    <col min="10754" max="10754" width="10.5703125" style="1" customWidth="1"/>
    <col min="10755" max="10755" width="12.28515625" style="1" customWidth="1"/>
    <col min="10756" max="10756" width="12.5703125" style="1" customWidth="1"/>
    <col min="10757" max="10757" width="1.5703125" style="1" customWidth="1"/>
    <col min="10758" max="10758" width="45.140625" style="1" customWidth="1"/>
    <col min="10759" max="10759" width="13.140625" style="1" customWidth="1"/>
    <col min="10760" max="10760" width="10.28515625" style="1" bestFit="1" customWidth="1"/>
    <col min="10761" max="10761" width="16.28515625" style="1" bestFit="1" customWidth="1"/>
    <col min="10762" max="10762" width="11.28515625" style="1" bestFit="1" customWidth="1"/>
    <col min="10763" max="10995" width="9.140625" style="1"/>
    <col min="10996" max="10996" width="5.140625" style="1" customWidth="1"/>
    <col min="10997" max="10997" width="33.5703125" style="1" customWidth="1"/>
    <col min="10998" max="10998" width="25.85546875" style="1" customWidth="1"/>
    <col min="10999" max="10999" width="0" style="1" hidden="1" customWidth="1"/>
    <col min="11000" max="11000" width="14.85546875" style="1" customWidth="1"/>
    <col min="11001" max="11001" width="13.85546875" style="1" customWidth="1"/>
    <col min="11002" max="11002" width="12.140625" style="1" customWidth="1"/>
    <col min="11003" max="11003" width="13.7109375" style="1" customWidth="1"/>
    <col min="11004" max="11004" width="8.5703125" style="1" customWidth="1"/>
    <col min="11005" max="11005" width="13" style="1" customWidth="1"/>
    <col min="11006" max="11006" width="9" style="1" customWidth="1"/>
    <col min="11007" max="11007" width="6.7109375" style="1" customWidth="1"/>
    <col min="11008" max="11008" width="9" style="1" customWidth="1"/>
    <col min="11009" max="11009" width="6.85546875" style="1" customWidth="1"/>
    <col min="11010" max="11010" width="10.5703125" style="1" customWidth="1"/>
    <col min="11011" max="11011" width="12.28515625" style="1" customWidth="1"/>
    <col min="11012" max="11012" width="12.5703125" style="1" customWidth="1"/>
    <col min="11013" max="11013" width="1.5703125" style="1" customWidth="1"/>
    <col min="11014" max="11014" width="45.140625" style="1" customWidth="1"/>
    <col min="11015" max="11015" width="13.140625" style="1" customWidth="1"/>
    <col min="11016" max="11016" width="10.28515625" style="1" bestFit="1" customWidth="1"/>
    <col min="11017" max="11017" width="16.28515625" style="1" bestFit="1" customWidth="1"/>
    <col min="11018" max="11018" width="11.28515625" style="1" bestFit="1" customWidth="1"/>
    <col min="11019" max="11251" width="9.140625" style="1"/>
    <col min="11252" max="11252" width="5.140625" style="1" customWidth="1"/>
    <col min="11253" max="11253" width="33.5703125" style="1" customWidth="1"/>
    <col min="11254" max="11254" width="25.85546875" style="1" customWidth="1"/>
    <col min="11255" max="11255" width="0" style="1" hidden="1" customWidth="1"/>
    <col min="11256" max="11256" width="14.85546875" style="1" customWidth="1"/>
    <col min="11257" max="11257" width="13.85546875" style="1" customWidth="1"/>
    <col min="11258" max="11258" width="12.140625" style="1" customWidth="1"/>
    <col min="11259" max="11259" width="13.7109375" style="1" customWidth="1"/>
    <col min="11260" max="11260" width="8.5703125" style="1" customWidth="1"/>
    <col min="11261" max="11261" width="13" style="1" customWidth="1"/>
    <col min="11262" max="11262" width="9" style="1" customWidth="1"/>
    <col min="11263" max="11263" width="6.7109375" style="1" customWidth="1"/>
    <col min="11264" max="11264" width="9" style="1" customWidth="1"/>
    <col min="11265" max="11265" width="6.85546875" style="1" customWidth="1"/>
    <col min="11266" max="11266" width="10.5703125" style="1" customWidth="1"/>
    <col min="11267" max="11267" width="12.28515625" style="1" customWidth="1"/>
    <col min="11268" max="11268" width="12.5703125" style="1" customWidth="1"/>
    <col min="11269" max="11269" width="1.5703125" style="1" customWidth="1"/>
    <col min="11270" max="11270" width="45.140625" style="1" customWidth="1"/>
    <col min="11271" max="11271" width="13.140625" style="1" customWidth="1"/>
    <col min="11272" max="11272" width="10.28515625" style="1" bestFit="1" customWidth="1"/>
    <col min="11273" max="11273" width="16.28515625" style="1" bestFit="1" customWidth="1"/>
    <col min="11274" max="11274" width="11.28515625" style="1" bestFit="1" customWidth="1"/>
    <col min="11275" max="11507" width="9.140625" style="1"/>
    <col min="11508" max="11508" width="5.140625" style="1" customWidth="1"/>
    <col min="11509" max="11509" width="33.5703125" style="1" customWidth="1"/>
    <col min="11510" max="11510" width="25.85546875" style="1" customWidth="1"/>
    <col min="11511" max="11511" width="0" style="1" hidden="1" customWidth="1"/>
    <col min="11512" max="11512" width="14.85546875" style="1" customWidth="1"/>
    <col min="11513" max="11513" width="13.85546875" style="1" customWidth="1"/>
    <col min="11514" max="11514" width="12.140625" style="1" customWidth="1"/>
    <col min="11515" max="11515" width="13.7109375" style="1" customWidth="1"/>
    <col min="11516" max="11516" width="8.5703125" style="1" customWidth="1"/>
    <col min="11517" max="11517" width="13" style="1" customWidth="1"/>
    <col min="11518" max="11518" width="9" style="1" customWidth="1"/>
    <col min="11519" max="11519" width="6.7109375" style="1" customWidth="1"/>
    <col min="11520" max="11520" width="9" style="1" customWidth="1"/>
    <col min="11521" max="11521" width="6.85546875" style="1" customWidth="1"/>
    <col min="11522" max="11522" width="10.5703125" style="1" customWidth="1"/>
    <col min="11523" max="11523" width="12.28515625" style="1" customWidth="1"/>
    <col min="11524" max="11524" width="12.5703125" style="1" customWidth="1"/>
    <col min="11525" max="11525" width="1.5703125" style="1" customWidth="1"/>
    <col min="11526" max="11526" width="45.140625" style="1" customWidth="1"/>
    <col min="11527" max="11527" width="13.140625" style="1" customWidth="1"/>
    <col min="11528" max="11528" width="10.28515625" style="1" bestFit="1" customWidth="1"/>
    <col min="11529" max="11529" width="16.28515625" style="1" bestFit="1" customWidth="1"/>
    <col min="11530" max="11530" width="11.28515625" style="1" bestFit="1" customWidth="1"/>
    <col min="11531" max="11763" width="9.140625" style="1"/>
    <col min="11764" max="11764" width="5.140625" style="1" customWidth="1"/>
    <col min="11765" max="11765" width="33.5703125" style="1" customWidth="1"/>
    <col min="11766" max="11766" width="25.85546875" style="1" customWidth="1"/>
    <col min="11767" max="11767" width="0" style="1" hidden="1" customWidth="1"/>
    <col min="11768" max="11768" width="14.85546875" style="1" customWidth="1"/>
    <col min="11769" max="11769" width="13.85546875" style="1" customWidth="1"/>
    <col min="11770" max="11770" width="12.140625" style="1" customWidth="1"/>
    <col min="11771" max="11771" width="13.7109375" style="1" customWidth="1"/>
    <col min="11772" max="11772" width="8.5703125" style="1" customWidth="1"/>
    <col min="11773" max="11773" width="13" style="1" customWidth="1"/>
    <col min="11774" max="11774" width="9" style="1" customWidth="1"/>
    <col min="11775" max="11775" width="6.7109375" style="1" customWidth="1"/>
    <col min="11776" max="11776" width="9" style="1" customWidth="1"/>
    <col min="11777" max="11777" width="6.85546875" style="1" customWidth="1"/>
    <col min="11778" max="11778" width="10.5703125" style="1" customWidth="1"/>
    <col min="11779" max="11779" width="12.28515625" style="1" customWidth="1"/>
    <col min="11780" max="11780" width="12.5703125" style="1" customWidth="1"/>
    <col min="11781" max="11781" width="1.5703125" style="1" customWidth="1"/>
    <col min="11782" max="11782" width="45.140625" style="1" customWidth="1"/>
    <col min="11783" max="11783" width="13.140625" style="1" customWidth="1"/>
    <col min="11784" max="11784" width="10.28515625" style="1" bestFit="1" customWidth="1"/>
    <col min="11785" max="11785" width="16.28515625" style="1" bestFit="1" customWidth="1"/>
    <col min="11786" max="11786" width="11.28515625" style="1" bestFit="1" customWidth="1"/>
    <col min="11787" max="12019" width="9.140625" style="1"/>
    <col min="12020" max="12020" width="5.140625" style="1" customWidth="1"/>
    <col min="12021" max="12021" width="33.5703125" style="1" customWidth="1"/>
    <col min="12022" max="12022" width="25.85546875" style="1" customWidth="1"/>
    <col min="12023" max="12023" width="0" style="1" hidden="1" customWidth="1"/>
    <col min="12024" max="12024" width="14.85546875" style="1" customWidth="1"/>
    <col min="12025" max="12025" width="13.85546875" style="1" customWidth="1"/>
    <col min="12026" max="12026" width="12.140625" style="1" customWidth="1"/>
    <col min="12027" max="12027" width="13.7109375" style="1" customWidth="1"/>
    <col min="12028" max="12028" width="8.5703125" style="1" customWidth="1"/>
    <col min="12029" max="12029" width="13" style="1" customWidth="1"/>
    <col min="12030" max="12030" width="9" style="1" customWidth="1"/>
    <col min="12031" max="12031" width="6.7109375" style="1" customWidth="1"/>
    <col min="12032" max="12032" width="9" style="1" customWidth="1"/>
    <col min="12033" max="12033" width="6.85546875" style="1" customWidth="1"/>
    <col min="12034" max="12034" width="10.5703125" style="1" customWidth="1"/>
    <col min="12035" max="12035" width="12.28515625" style="1" customWidth="1"/>
    <col min="12036" max="12036" width="12.5703125" style="1" customWidth="1"/>
    <col min="12037" max="12037" width="1.5703125" style="1" customWidth="1"/>
    <col min="12038" max="12038" width="45.140625" style="1" customWidth="1"/>
    <col min="12039" max="12039" width="13.140625" style="1" customWidth="1"/>
    <col min="12040" max="12040" width="10.28515625" style="1" bestFit="1" customWidth="1"/>
    <col min="12041" max="12041" width="16.28515625" style="1" bestFit="1" customWidth="1"/>
    <col min="12042" max="12042" width="11.28515625" style="1" bestFit="1" customWidth="1"/>
    <col min="12043" max="12275" width="9.140625" style="1"/>
    <col min="12276" max="12276" width="5.140625" style="1" customWidth="1"/>
    <col min="12277" max="12277" width="33.5703125" style="1" customWidth="1"/>
    <col min="12278" max="12278" width="25.85546875" style="1" customWidth="1"/>
    <col min="12279" max="12279" width="0" style="1" hidden="1" customWidth="1"/>
    <col min="12280" max="12280" width="14.85546875" style="1" customWidth="1"/>
    <col min="12281" max="12281" width="13.85546875" style="1" customWidth="1"/>
    <col min="12282" max="12282" width="12.140625" style="1" customWidth="1"/>
    <col min="12283" max="12283" width="13.7109375" style="1" customWidth="1"/>
    <col min="12284" max="12284" width="8.5703125" style="1" customWidth="1"/>
    <col min="12285" max="12285" width="13" style="1" customWidth="1"/>
    <col min="12286" max="12286" width="9" style="1" customWidth="1"/>
    <col min="12287" max="12287" width="6.7109375" style="1" customWidth="1"/>
    <col min="12288" max="12288" width="9" style="1" customWidth="1"/>
    <col min="12289" max="12289" width="6.85546875" style="1" customWidth="1"/>
    <col min="12290" max="12290" width="10.5703125" style="1" customWidth="1"/>
    <col min="12291" max="12291" width="12.28515625" style="1" customWidth="1"/>
    <col min="12292" max="12292" width="12.5703125" style="1" customWidth="1"/>
    <col min="12293" max="12293" width="1.5703125" style="1" customWidth="1"/>
    <col min="12294" max="12294" width="45.140625" style="1" customWidth="1"/>
    <col min="12295" max="12295" width="13.140625" style="1" customWidth="1"/>
    <col min="12296" max="12296" width="10.28515625" style="1" bestFit="1" customWidth="1"/>
    <col min="12297" max="12297" width="16.28515625" style="1" bestFit="1" customWidth="1"/>
    <col min="12298" max="12298" width="11.28515625" style="1" bestFit="1" customWidth="1"/>
    <col min="12299" max="12531" width="9.140625" style="1"/>
    <col min="12532" max="12532" width="5.140625" style="1" customWidth="1"/>
    <col min="12533" max="12533" width="33.5703125" style="1" customWidth="1"/>
    <col min="12534" max="12534" width="25.85546875" style="1" customWidth="1"/>
    <col min="12535" max="12535" width="0" style="1" hidden="1" customWidth="1"/>
    <col min="12536" max="12536" width="14.85546875" style="1" customWidth="1"/>
    <col min="12537" max="12537" width="13.85546875" style="1" customWidth="1"/>
    <col min="12538" max="12538" width="12.140625" style="1" customWidth="1"/>
    <col min="12539" max="12539" width="13.7109375" style="1" customWidth="1"/>
    <col min="12540" max="12540" width="8.5703125" style="1" customWidth="1"/>
    <col min="12541" max="12541" width="13" style="1" customWidth="1"/>
    <col min="12542" max="12542" width="9" style="1" customWidth="1"/>
    <col min="12543" max="12543" width="6.7109375" style="1" customWidth="1"/>
    <col min="12544" max="12544" width="9" style="1" customWidth="1"/>
    <col min="12545" max="12545" width="6.85546875" style="1" customWidth="1"/>
    <col min="12546" max="12546" width="10.5703125" style="1" customWidth="1"/>
    <col min="12547" max="12547" width="12.28515625" style="1" customWidth="1"/>
    <col min="12548" max="12548" width="12.5703125" style="1" customWidth="1"/>
    <col min="12549" max="12549" width="1.5703125" style="1" customWidth="1"/>
    <col min="12550" max="12550" width="45.140625" style="1" customWidth="1"/>
    <col min="12551" max="12551" width="13.140625" style="1" customWidth="1"/>
    <col min="12552" max="12552" width="10.28515625" style="1" bestFit="1" customWidth="1"/>
    <col min="12553" max="12553" width="16.28515625" style="1" bestFit="1" customWidth="1"/>
    <col min="12554" max="12554" width="11.28515625" style="1" bestFit="1" customWidth="1"/>
    <col min="12555" max="12787" width="9.140625" style="1"/>
    <col min="12788" max="12788" width="5.140625" style="1" customWidth="1"/>
    <col min="12789" max="12789" width="33.5703125" style="1" customWidth="1"/>
    <col min="12790" max="12790" width="25.85546875" style="1" customWidth="1"/>
    <col min="12791" max="12791" width="0" style="1" hidden="1" customWidth="1"/>
    <col min="12792" max="12792" width="14.85546875" style="1" customWidth="1"/>
    <col min="12793" max="12793" width="13.85546875" style="1" customWidth="1"/>
    <col min="12794" max="12794" width="12.140625" style="1" customWidth="1"/>
    <col min="12795" max="12795" width="13.7109375" style="1" customWidth="1"/>
    <col min="12796" max="12796" width="8.5703125" style="1" customWidth="1"/>
    <col min="12797" max="12797" width="13" style="1" customWidth="1"/>
    <col min="12798" max="12798" width="9" style="1" customWidth="1"/>
    <col min="12799" max="12799" width="6.7109375" style="1" customWidth="1"/>
    <col min="12800" max="12800" width="9" style="1" customWidth="1"/>
    <col min="12801" max="12801" width="6.85546875" style="1" customWidth="1"/>
    <col min="12802" max="12802" width="10.5703125" style="1" customWidth="1"/>
    <col min="12803" max="12803" width="12.28515625" style="1" customWidth="1"/>
    <col min="12804" max="12804" width="12.5703125" style="1" customWidth="1"/>
    <col min="12805" max="12805" width="1.5703125" style="1" customWidth="1"/>
    <col min="12806" max="12806" width="45.140625" style="1" customWidth="1"/>
    <col min="12807" max="12807" width="13.140625" style="1" customWidth="1"/>
    <col min="12808" max="12808" width="10.28515625" style="1" bestFit="1" customWidth="1"/>
    <col min="12809" max="12809" width="16.28515625" style="1" bestFit="1" customWidth="1"/>
    <col min="12810" max="12810" width="11.28515625" style="1" bestFit="1" customWidth="1"/>
    <col min="12811" max="13043" width="9.140625" style="1"/>
    <col min="13044" max="13044" width="5.140625" style="1" customWidth="1"/>
    <col min="13045" max="13045" width="33.5703125" style="1" customWidth="1"/>
    <col min="13046" max="13046" width="25.85546875" style="1" customWidth="1"/>
    <col min="13047" max="13047" width="0" style="1" hidden="1" customWidth="1"/>
    <col min="13048" max="13048" width="14.85546875" style="1" customWidth="1"/>
    <col min="13049" max="13049" width="13.85546875" style="1" customWidth="1"/>
    <col min="13050" max="13050" width="12.140625" style="1" customWidth="1"/>
    <col min="13051" max="13051" width="13.7109375" style="1" customWidth="1"/>
    <col min="13052" max="13052" width="8.5703125" style="1" customWidth="1"/>
    <col min="13053" max="13053" width="13" style="1" customWidth="1"/>
    <col min="13054" max="13054" width="9" style="1" customWidth="1"/>
    <col min="13055" max="13055" width="6.7109375" style="1" customWidth="1"/>
    <col min="13056" max="13056" width="9" style="1" customWidth="1"/>
    <col min="13057" max="13057" width="6.85546875" style="1" customWidth="1"/>
    <col min="13058" max="13058" width="10.5703125" style="1" customWidth="1"/>
    <col min="13059" max="13059" width="12.28515625" style="1" customWidth="1"/>
    <col min="13060" max="13060" width="12.5703125" style="1" customWidth="1"/>
    <col min="13061" max="13061" width="1.5703125" style="1" customWidth="1"/>
    <col min="13062" max="13062" width="45.140625" style="1" customWidth="1"/>
    <col min="13063" max="13063" width="13.140625" style="1" customWidth="1"/>
    <col min="13064" max="13064" width="10.28515625" style="1" bestFit="1" customWidth="1"/>
    <col min="13065" max="13065" width="16.28515625" style="1" bestFit="1" customWidth="1"/>
    <col min="13066" max="13066" width="11.28515625" style="1" bestFit="1" customWidth="1"/>
    <col min="13067" max="13299" width="9.140625" style="1"/>
    <col min="13300" max="13300" width="5.140625" style="1" customWidth="1"/>
    <col min="13301" max="13301" width="33.5703125" style="1" customWidth="1"/>
    <col min="13302" max="13302" width="25.85546875" style="1" customWidth="1"/>
    <col min="13303" max="13303" width="0" style="1" hidden="1" customWidth="1"/>
    <col min="13304" max="13304" width="14.85546875" style="1" customWidth="1"/>
    <col min="13305" max="13305" width="13.85546875" style="1" customWidth="1"/>
    <col min="13306" max="13306" width="12.140625" style="1" customWidth="1"/>
    <col min="13307" max="13307" width="13.7109375" style="1" customWidth="1"/>
    <col min="13308" max="13308" width="8.5703125" style="1" customWidth="1"/>
    <col min="13309" max="13309" width="13" style="1" customWidth="1"/>
    <col min="13310" max="13310" width="9" style="1" customWidth="1"/>
    <col min="13311" max="13311" width="6.7109375" style="1" customWidth="1"/>
    <col min="13312" max="13312" width="9" style="1" customWidth="1"/>
    <col min="13313" max="13313" width="6.85546875" style="1" customWidth="1"/>
    <col min="13314" max="13314" width="10.5703125" style="1" customWidth="1"/>
    <col min="13315" max="13315" width="12.28515625" style="1" customWidth="1"/>
    <col min="13316" max="13316" width="12.5703125" style="1" customWidth="1"/>
    <col min="13317" max="13317" width="1.5703125" style="1" customWidth="1"/>
    <col min="13318" max="13318" width="45.140625" style="1" customWidth="1"/>
    <col min="13319" max="13319" width="13.140625" style="1" customWidth="1"/>
    <col min="13320" max="13320" width="10.28515625" style="1" bestFit="1" customWidth="1"/>
    <col min="13321" max="13321" width="16.28515625" style="1" bestFit="1" customWidth="1"/>
    <col min="13322" max="13322" width="11.28515625" style="1" bestFit="1" customWidth="1"/>
    <col min="13323" max="13555" width="9.140625" style="1"/>
    <col min="13556" max="13556" width="5.140625" style="1" customWidth="1"/>
    <col min="13557" max="13557" width="33.5703125" style="1" customWidth="1"/>
    <col min="13558" max="13558" width="25.85546875" style="1" customWidth="1"/>
    <col min="13559" max="13559" width="0" style="1" hidden="1" customWidth="1"/>
    <col min="13560" max="13560" width="14.85546875" style="1" customWidth="1"/>
    <col min="13561" max="13561" width="13.85546875" style="1" customWidth="1"/>
    <col min="13562" max="13562" width="12.140625" style="1" customWidth="1"/>
    <col min="13563" max="13563" width="13.7109375" style="1" customWidth="1"/>
    <col min="13564" max="13564" width="8.5703125" style="1" customWidth="1"/>
    <col min="13565" max="13565" width="13" style="1" customWidth="1"/>
    <col min="13566" max="13566" width="9" style="1" customWidth="1"/>
    <col min="13567" max="13567" width="6.7109375" style="1" customWidth="1"/>
    <col min="13568" max="13568" width="9" style="1" customWidth="1"/>
    <col min="13569" max="13569" width="6.85546875" style="1" customWidth="1"/>
    <col min="13570" max="13570" width="10.5703125" style="1" customWidth="1"/>
    <col min="13571" max="13571" width="12.28515625" style="1" customWidth="1"/>
    <col min="13572" max="13572" width="12.5703125" style="1" customWidth="1"/>
    <col min="13573" max="13573" width="1.5703125" style="1" customWidth="1"/>
    <col min="13574" max="13574" width="45.140625" style="1" customWidth="1"/>
    <col min="13575" max="13575" width="13.140625" style="1" customWidth="1"/>
    <col min="13576" max="13576" width="10.28515625" style="1" bestFit="1" customWidth="1"/>
    <col min="13577" max="13577" width="16.28515625" style="1" bestFit="1" customWidth="1"/>
    <col min="13578" max="13578" width="11.28515625" style="1" bestFit="1" customWidth="1"/>
    <col min="13579" max="13811" width="9.140625" style="1"/>
    <col min="13812" max="13812" width="5.140625" style="1" customWidth="1"/>
    <col min="13813" max="13813" width="33.5703125" style="1" customWidth="1"/>
    <col min="13814" max="13814" width="25.85546875" style="1" customWidth="1"/>
    <col min="13815" max="13815" width="0" style="1" hidden="1" customWidth="1"/>
    <col min="13816" max="13816" width="14.85546875" style="1" customWidth="1"/>
    <col min="13817" max="13817" width="13.85546875" style="1" customWidth="1"/>
    <col min="13818" max="13818" width="12.140625" style="1" customWidth="1"/>
    <col min="13819" max="13819" width="13.7109375" style="1" customWidth="1"/>
    <col min="13820" max="13820" width="8.5703125" style="1" customWidth="1"/>
    <col min="13821" max="13821" width="13" style="1" customWidth="1"/>
    <col min="13822" max="13822" width="9" style="1" customWidth="1"/>
    <col min="13823" max="13823" width="6.7109375" style="1" customWidth="1"/>
    <col min="13824" max="13824" width="9" style="1" customWidth="1"/>
    <col min="13825" max="13825" width="6.85546875" style="1" customWidth="1"/>
    <col min="13826" max="13826" width="10.5703125" style="1" customWidth="1"/>
    <col min="13827" max="13827" width="12.28515625" style="1" customWidth="1"/>
    <col min="13828" max="13828" width="12.5703125" style="1" customWidth="1"/>
    <col min="13829" max="13829" width="1.5703125" style="1" customWidth="1"/>
    <col min="13830" max="13830" width="45.140625" style="1" customWidth="1"/>
    <col min="13831" max="13831" width="13.140625" style="1" customWidth="1"/>
    <col min="13832" max="13832" width="10.28515625" style="1" bestFit="1" customWidth="1"/>
    <col min="13833" max="13833" width="16.28515625" style="1" bestFit="1" customWidth="1"/>
    <col min="13834" max="13834" width="11.28515625" style="1" bestFit="1" customWidth="1"/>
    <col min="13835" max="14067" width="9.140625" style="1"/>
    <col min="14068" max="14068" width="5.140625" style="1" customWidth="1"/>
    <col min="14069" max="14069" width="33.5703125" style="1" customWidth="1"/>
    <col min="14070" max="14070" width="25.85546875" style="1" customWidth="1"/>
    <col min="14071" max="14071" width="0" style="1" hidden="1" customWidth="1"/>
    <col min="14072" max="14072" width="14.85546875" style="1" customWidth="1"/>
    <col min="14073" max="14073" width="13.85546875" style="1" customWidth="1"/>
    <col min="14074" max="14074" width="12.140625" style="1" customWidth="1"/>
    <col min="14075" max="14075" width="13.7109375" style="1" customWidth="1"/>
    <col min="14076" max="14076" width="8.5703125" style="1" customWidth="1"/>
    <col min="14077" max="14077" width="13" style="1" customWidth="1"/>
    <col min="14078" max="14078" width="9" style="1" customWidth="1"/>
    <col min="14079" max="14079" width="6.7109375" style="1" customWidth="1"/>
    <col min="14080" max="14080" width="9" style="1" customWidth="1"/>
    <col min="14081" max="14081" width="6.85546875" style="1" customWidth="1"/>
    <col min="14082" max="14082" width="10.5703125" style="1" customWidth="1"/>
    <col min="14083" max="14083" width="12.28515625" style="1" customWidth="1"/>
    <col min="14084" max="14084" width="12.5703125" style="1" customWidth="1"/>
    <col min="14085" max="14085" width="1.5703125" style="1" customWidth="1"/>
    <col min="14086" max="14086" width="45.140625" style="1" customWidth="1"/>
    <col min="14087" max="14087" width="13.140625" style="1" customWidth="1"/>
    <col min="14088" max="14088" width="10.28515625" style="1" bestFit="1" customWidth="1"/>
    <col min="14089" max="14089" width="16.28515625" style="1" bestFit="1" customWidth="1"/>
    <col min="14090" max="14090" width="11.28515625" style="1" bestFit="1" customWidth="1"/>
    <col min="14091" max="14323" width="9.140625" style="1"/>
    <col min="14324" max="14324" width="5.140625" style="1" customWidth="1"/>
    <col min="14325" max="14325" width="33.5703125" style="1" customWidth="1"/>
    <col min="14326" max="14326" width="25.85546875" style="1" customWidth="1"/>
    <col min="14327" max="14327" width="0" style="1" hidden="1" customWidth="1"/>
    <col min="14328" max="14328" width="14.85546875" style="1" customWidth="1"/>
    <col min="14329" max="14329" width="13.85546875" style="1" customWidth="1"/>
    <col min="14330" max="14330" width="12.140625" style="1" customWidth="1"/>
    <col min="14331" max="14331" width="13.7109375" style="1" customWidth="1"/>
    <col min="14332" max="14332" width="8.5703125" style="1" customWidth="1"/>
    <col min="14333" max="14333" width="13" style="1" customWidth="1"/>
    <col min="14334" max="14334" width="9" style="1" customWidth="1"/>
    <col min="14335" max="14335" width="6.7109375" style="1" customWidth="1"/>
    <col min="14336" max="14336" width="9" style="1" customWidth="1"/>
    <col min="14337" max="14337" width="6.85546875" style="1" customWidth="1"/>
    <col min="14338" max="14338" width="10.5703125" style="1" customWidth="1"/>
    <col min="14339" max="14339" width="12.28515625" style="1" customWidth="1"/>
    <col min="14340" max="14340" width="12.5703125" style="1" customWidth="1"/>
    <col min="14341" max="14341" width="1.5703125" style="1" customWidth="1"/>
    <col min="14342" max="14342" width="45.140625" style="1" customWidth="1"/>
    <col min="14343" max="14343" width="13.140625" style="1" customWidth="1"/>
    <col min="14344" max="14344" width="10.28515625" style="1" bestFit="1" customWidth="1"/>
    <col min="14345" max="14345" width="16.28515625" style="1" bestFit="1" customWidth="1"/>
    <col min="14346" max="14346" width="11.28515625" style="1" bestFit="1" customWidth="1"/>
    <col min="14347" max="14579" width="9.140625" style="1"/>
    <col min="14580" max="14580" width="5.140625" style="1" customWidth="1"/>
    <col min="14581" max="14581" width="33.5703125" style="1" customWidth="1"/>
    <col min="14582" max="14582" width="25.85546875" style="1" customWidth="1"/>
    <col min="14583" max="14583" width="0" style="1" hidden="1" customWidth="1"/>
    <col min="14584" max="14584" width="14.85546875" style="1" customWidth="1"/>
    <col min="14585" max="14585" width="13.85546875" style="1" customWidth="1"/>
    <col min="14586" max="14586" width="12.140625" style="1" customWidth="1"/>
    <col min="14587" max="14587" width="13.7109375" style="1" customWidth="1"/>
    <col min="14588" max="14588" width="8.5703125" style="1" customWidth="1"/>
    <col min="14589" max="14589" width="13" style="1" customWidth="1"/>
    <col min="14590" max="14590" width="9" style="1" customWidth="1"/>
    <col min="14591" max="14591" width="6.7109375" style="1" customWidth="1"/>
    <col min="14592" max="14592" width="9" style="1" customWidth="1"/>
    <col min="14593" max="14593" width="6.85546875" style="1" customWidth="1"/>
    <col min="14594" max="14594" width="10.5703125" style="1" customWidth="1"/>
    <col min="14595" max="14595" width="12.28515625" style="1" customWidth="1"/>
    <col min="14596" max="14596" width="12.5703125" style="1" customWidth="1"/>
    <col min="14597" max="14597" width="1.5703125" style="1" customWidth="1"/>
    <col min="14598" max="14598" width="45.140625" style="1" customWidth="1"/>
    <col min="14599" max="14599" width="13.140625" style="1" customWidth="1"/>
    <col min="14600" max="14600" width="10.28515625" style="1" bestFit="1" customWidth="1"/>
    <col min="14601" max="14601" width="16.28515625" style="1" bestFit="1" customWidth="1"/>
    <col min="14602" max="14602" width="11.28515625" style="1" bestFit="1" customWidth="1"/>
    <col min="14603" max="14835" width="9.140625" style="1"/>
    <col min="14836" max="14836" width="5.140625" style="1" customWidth="1"/>
    <col min="14837" max="14837" width="33.5703125" style="1" customWidth="1"/>
    <col min="14838" max="14838" width="25.85546875" style="1" customWidth="1"/>
    <col min="14839" max="14839" width="0" style="1" hidden="1" customWidth="1"/>
    <col min="14840" max="14840" width="14.85546875" style="1" customWidth="1"/>
    <col min="14841" max="14841" width="13.85546875" style="1" customWidth="1"/>
    <col min="14842" max="14842" width="12.140625" style="1" customWidth="1"/>
    <col min="14843" max="14843" width="13.7109375" style="1" customWidth="1"/>
    <col min="14844" max="14844" width="8.5703125" style="1" customWidth="1"/>
    <col min="14845" max="14845" width="13" style="1" customWidth="1"/>
    <col min="14846" max="14846" width="9" style="1" customWidth="1"/>
    <col min="14847" max="14847" width="6.7109375" style="1" customWidth="1"/>
    <col min="14848" max="14848" width="9" style="1" customWidth="1"/>
    <col min="14849" max="14849" width="6.85546875" style="1" customWidth="1"/>
    <col min="14850" max="14850" width="10.5703125" style="1" customWidth="1"/>
    <col min="14851" max="14851" width="12.28515625" style="1" customWidth="1"/>
    <col min="14852" max="14852" width="12.5703125" style="1" customWidth="1"/>
    <col min="14853" max="14853" width="1.5703125" style="1" customWidth="1"/>
    <col min="14854" max="14854" width="45.140625" style="1" customWidth="1"/>
    <col min="14855" max="14855" width="13.140625" style="1" customWidth="1"/>
    <col min="14856" max="14856" width="10.28515625" style="1" bestFit="1" customWidth="1"/>
    <col min="14857" max="14857" width="16.28515625" style="1" bestFit="1" customWidth="1"/>
    <col min="14858" max="14858" width="11.28515625" style="1" bestFit="1" customWidth="1"/>
    <col min="14859" max="15091" width="9.140625" style="1"/>
    <col min="15092" max="15092" width="5.140625" style="1" customWidth="1"/>
    <col min="15093" max="15093" width="33.5703125" style="1" customWidth="1"/>
    <col min="15094" max="15094" width="25.85546875" style="1" customWidth="1"/>
    <col min="15095" max="15095" width="0" style="1" hidden="1" customWidth="1"/>
    <col min="15096" max="15096" width="14.85546875" style="1" customWidth="1"/>
    <col min="15097" max="15097" width="13.85546875" style="1" customWidth="1"/>
    <col min="15098" max="15098" width="12.140625" style="1" customWidth="1"/>
    <col min="15099" max="15099" width="13.7109375" style="1" customWidth="1"/>
    <col min="15100" max="15100" width="8.5703125" style="1" customWidth="1"/>
    <col min="15101" max="15101" width="13" style="1" customWidth="1"/>
    <col min="15102" max="15102" width="9" style="1" customWidth="1"/>
    <col min="15103" max="15103" width="6.7109375" style="1" customWidth="1"/>
    <col min="15104" max="15104" width="9" style="1" customWidth="1"/>
    <col min="15105" max="15105" width="6.85546875" style="1" customWidth="1"/>
    <col min="15106" max="15106" width="10.5703125" style="1" customWidth="1"/>
    <col min="15107" max="15107" width="12.28515625" style="1" customWidth="1"/>
    <col min="15108" max="15108" width="12.5703125" style="1" customWidth="1"/>
    <col min="15109" max="15109" width="1.5703125" style="1" customWidth="1"/>
    <col min="15110" max="15110" width="45.140625" style="1" customWidth="1"/>
    <col min="15111" max="15111" width="13.140625" style="1" customWidth="1"/>
    <col min="15112" max="15112" width="10.28515625" style="1" bestFit="1" customWidth="1"/>
    <col min="15113" max="15113" width="16.28515625" style="1" bestFit="1" customWidth="1"/>
    <col min="15114" max="15114" width="11.28515625" style="1" bestFit="1" customWidth="1"/>
    <col min="15115" max="15347" width="9.140625" style="1"/>
    <col min="15348" max="15348" width="5.140625" style="1" customWidth="1"/>
    <col min="15349" max="15349" width="33.5703125" style="1" customWidth="1"/>
    <col min="15350" max="15350" width="25.85546875" style="1" customWidth="1"/>
    <col min="15351" max="15351" width="0" style="1" hidden="1" customWidth="1"/>
    <col min="15352" max="15352" width="14.85546875" style="1" customWidth="1"/>
    <col min="15353" max="15353" width="13.85546875" style="1" customWidth="1"/>
    <col min="15354" max="15354" width="12.140625" style="1" customWidth="1"/>
    <col min="15355" max="15355" width="13.7109375" style="1" customWidth="1"/>
    <col min="15356" max="15356" width="8.5703125" style="1" customWidth="1"/>
    <col min="15357" max="15357" width="13" style="1" customWidth="1"/>
    <col min="15358" max="15358" width="9" style="1" customWidth="1"/>
    <col min="15359" max="15359" width="6.7109375" style="1" customWidth="1"/>
    <col min="15360" max="15360" width="9" style="1" customWidth="1"/>
    <col min="15361" max="15361" width="6.85546875" style="1" customWidth="1"/>
    <col min="15362" max="15362" width="10.5703125" style="1" customWidth="1"/>
    <col min="15363" max="15363" width="12.28515625" style="1" customWidth="1"/>
    <col min="15364" max="15364" width="12.5703125" style="1" customWidth="1"/>
    <col min="15365" max="15365" width="1.5703125" style="1" customWidth="1"/>
    <col min="15366" max="15366" width="45.140625" style="1" customWidth="1"/>
    <col min="15367" max="15367" width="13.140625" style="1" customWidth="1"/>
    <col min="15368" max="15368" width="10.28515625" style="1" bestFit="1" customWidth="1"/>
    <col min="15369" max="15369" width="16.28515625" style="1" bestFit="1" customWidth="1"/>
    <col min="15370" max="15370" width="11.28515625" style="1" bestFit="1" customWidth="1"/>
    <col min="15371" max="15603" width="9.140625" style="1"/>
    <col min="15604" max="15604" width="5.140625" style="1" customWidth="1"/>
    <col min="15605" max="15605" width="33.5703125" style="1" customWidth="1"/>
    <col min="15606" max="15606" width="25.85546875" style="1" customWidth="1"/>
    <col min="15607" max="15607" width="0" style="1" hidden="1" customWidth="1"/>
    <col min="15608" max="15608" width="14.85546875" style="1" customWidth="1"/>
    <col min="15609" max="15609" width="13.85546875" style="1" customWidth="1"/>
    <col min="15610" max="15610" width="12.140625" style="1" customWidth="1"/>
    <col min="15611" max="15611" width="13.7109375" style="1" customWidth="1"/>
    <col min="15612" max="15612" width="8.5703125" style="1" customWidth="1"/>
    <col min="15613" max="15613" width="13" style="1" customWidth="1"/>
    <col min="15614" max="15614" width="9" style="1" customWidth="1"/>
    <col min="15615" max="15615" width="6.7109375" style="1" customWidth="1"/>
    <col min="15616" max="15616" width="9" style="1" customWidth="1"/>
    <col min="15617" max="15617" width="6.85546875" style="1" customWidth="1"/>
    <col min="15618" max="15618" width="10.5703125" style="1" customWidth="1"/>
    <col min="15619" max="15619" width="12.28515625" style="1" customWidth="1"/>
    <col min="15620" max="15620" width="12.5703125" style="1" customWidth="1"/>
    <col min="15621" max="15621" width="1.5703125" style="1" customWidth="1"/>
    <col min="15622" max="15622" width="45.140625" style="1" customWidth="1"/>
    <col min="15623" max="15623" width="13.140625" style="1" customWidth="1"/>
    <col min="15624" max="15624" width="10.28515625" style="1" bestFit="1" customWidth="1"/>
    <col min="15625" max="15625" width="16.28515625" style="1" bestFit="1" customWidth="1"/>
    <col min="15626" max="15626" width="11.28515625" style="1" bestFit="1" customWidth="1"/>
    <col min="15627" max="15859" width="9.140625" style="1"/>
    <col min="15860" max="15860" width="5.140625" style="1" customWidth="1"/>
    <col min="15861" max="15861" width="33.5703125" style="1" customWidth="1"/>
    <col min="15862" max="15862" width="25.85546875" style="1" customWidth="1"/>
    <col min="15863" max="15863" width="0" style="1" hidden="1" customWidth="1"/>
    <col min="15864" max="15864" width="14.85546875" style="1" customWidth="1"/>
    <col min="15865" max="15865" width="13.85546875" style="1" customWidth="1"/>
    <col min="15866" max="15866" width="12.140625" style="1" customWidth="1"/>
    <col min="15867" max="15867" width="13.7109375" style="1" customWidth="1"/>
    <col min="15868" max="15868" width="8.5703125" style="1" customWidth="1"/>
    <col min="15869" max="15869" width="13" style="1" customWidth="1"/>
    <col min="15870" max="15870" width="9" style="1" customWidth="1"/>
    <col min="15871" max="15871" width="6.7109375" style="1" customWidth="1"/>
    <col min="15872" max="15872" width="9" style="1" customWidth="1"/>
    <col min="15873" max="15873" width="6.85546875" style="1" customWidth="1"/>
    <col min="15874" max="15874" width="10.5703125" style="1" customWidth="1"/>
    <col min="15875" max="15875" width="12.28515625" style="1" customWidth="1"/>
    <col min="15876" max="15876" width="12.5703125" style="1" customWidth="1"/>
    <col min="15877" max="15877" width="1.5703125" style="1" customWidth="1"/>
    <col min="15878" max="15878" width="45.140625" style="1" customWidth="1"/>
    <col min="15879" max="15879" width="13.140625" style="1" customWidth="1"/>
    <col min="15880" max="15880" width="10.28515625" style="1" bestFit="1" customWidth="1"/>
    <col min="15881" max="15881" width="16.28515625" style="1" bestFit="1" customWidth="1"/>
    <col min="15882" max="15882" width="11.28515625" style="1" bestFit="1" customWidth="1"/>
    <col min="15883" max="16115" width="9.140625" style="1"/>
    <col min="16116" max="16116" width="5.140625" style="1" customWidth="1"/>
    <col min="16117" max="16117" width="33.5703125" style="1" customWidth="1"/>
    <col min="16118" max="16118" width="25.85546875" style="1" customWidth="1"/>
    <col min="16119" max="16119" width="0" style="1" hidden="1" customWidth="1"/>
    <col min="16120" max="16120" width="14.85546875" style="1" customWidth="1"/>
    <col min="16121" max="16121" width="13.85546875" style="1" customWidth="1"/>
    <col min="16122" max="16122" width="12.140625" style="1" customWidth="1"/>
    <col min="16123" max="16123" width="13.7109375" style="1" customWidth="1"/>
    <col min="16124" max="16124" width="8.5703125" style="1" customWidth="1"/>
    <col min="16125" max="16125" width="13" style="1" customWidth="1"/>
    <col min="16126" max="16126" width="9" style="1" customWidth="1"/>
    <col min="16127" max="16127" width="6.7109375" style="1" customWidth="1"/>
    <col min="16128" max="16128" width="9" style="1" customWidth="1"/>
    <col min="16129" max="16129" width="6.85546875" style="1" customWidth="1"/>
    <col min="16130" max="16130" width="10.5703125" style="1" customWidth="1"/>
    <col min="16131" max="16131" width="12.28515625" style="1" customWidth="1"/>
    <col min="16132" max="16132" width="12.5703125" style="1" customWidth="1"/>
    <col min="16133" max="16133" width="1.5703125" style="1" customWidth="1"/>
    <col min="16134" max="16134" width="45.140625" style="1" customWidth="1"/>
    <col min="16135" max="16135" width="13.140625" style="1" customWidth="1"/>
    <col min="16136" max="16136" width="10.28515625" style="1" bestFit="1" customWidth="1"/>
    <col min="16137" max="16137" width="16.28515625" style="1" bestFit="1" customWidth="1"/>
    <col min="16138" max="16138" width="11.28515625" style="1" bestFit="1" customWidth="1"/>
    <col min="16139" max="16384" width="9.140625" style="1"/>
  </cols>
  <sheetData>
    <row r="1" spans="1:33" x14ac:dyDescent="0.25">
      <c r="A1" s="307" t="s">
        <v>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260"/>
    </row>
    <row r="2" spans="1:33" x14ac:dyDescent="0.25">
      <c r="A2" s="308" t="s">
        <v>100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260"/>
    </row>
    <row r="3" spans="1:33" s="12" customFormat="1" ht="63" x14ac:dyDescent="0.25">
      <c r="A3" s="214" t="s">
        <v>2</v>
      </c>
      <c r="B3" s="215" t="s">
        <v>3</v>
      </c>
      <c r="C3" s="216" t="s">
        <v>4</v>
      </c>
      <c r="D3" s="217" t="s">
        <v>5</v>
      </c>
      <c r="E3" s="218"/>
      <c r="F3" s="218"/>
      <c r="G3" s="218"/>
      <c r="H3" s="218"/>
      <c r="I3" s="218"/>
      <c r="J3" s="219" t="s">
        <v>6</v>
      </c>
      <c r="K3" s="219" t="s">
        <v>7</v>
      </c>
      <c r="L3" s="220"/>
      <c r="M3" s="220"/>
      <c r="N3" s="309" t="s">
        <v>8</v>
      </c>
      <c r="O3" s="309"/>
      <c r="P3" s="309"/>
      <c r="Q3" s="217" t="s">
        <v>9</v>
      </c>
      <c r="R3" s="217" t="s">
        <v>10</v>
      </c>
      <c r="S3" s="217"/>
      <c r="T3" s="217" t="s">
        <v>11</v>
      </c>
      <c r="U3" s="217" t="s">
        <v>1172</v>
      </c>
      <c r="V3" s="217" t="s">
        <v>6</v>
      </c>
      <c r="W3" s="221" t="s">
        <v>13</v>
      </c>
      <c r="X3" s="251" t="s">
        <v>1165</v>
      </c>
      <c r="Y3" s="222" t="s">
        <v>15</v>
      </c>
      <c r="Z3" s="217" t="s">
        <v>1140</v>
      </c>
      <c r="AA3" s="309" t="s">
        <v>17</v>
      </c>
      <c r="AB3" s="309"/>
      <c r="AC3" s="217"/>
      <c r="AD3" s="217"/>
      <c r="AE3" s="216" t="s">
        <v>19</v>
      </c>
      <c r="AF3" s="216" t="s">
        <v>1173</v>
      </c>
      <c r="AG3" s="216" t="s">
        <v>13</v>
      </c>
    </row>
    <row r="4" spans="1:33" x14ac:dyDescent="0.25">
      <c r="A4" s="13" t="s">
        <v>20</v>
      </c>
      <c r="B4" s="92" t="s">
        <v>136</v>
      </c>
      <c r="C4" s="86" t="s">
        <v>137</v>
      </c>
      <c r="D4" s="14"/>
      <c r="E4" s="16"/>
      <c r="F4" s="17"/>
      <c r="G4" s="17"/>
      <c r="H4" s="25"/>
      <c r="I4" s="18"/>
      <c r="J4" s="19"/>
      <c r="K4" s="19"/>
      <c r="L4" s="20"/>
      <c r="M4" s="20"/>
      <c r="N4" s="20"/>
      <c r="O4" s="20"/>
      <c r="P4" s="17"/>
      <c r="Q4" s="21"/>
      <c r="R4" s="22"/>
      <c r="S4" s="22"/>
      <c r="T4" s="86" t="s">
        <v>140</v>
      </c>
      <c r="U4" s="91" t="s">
        <v>1175</v>
      </c>
      <c r="V4" s="45">
        <v>23000</v>
      </c>
      <c r="W4" s="23"/>
      <c r="X4" s="158">
        <v>15281</v>
      </c>
      <c r="Y4" s="253">
        <f>X4*3</f>
        <v>45843</v>
      </c>
      <c r="Z4" s="30"/>
      <c r="AA4" s="254">
        <v>22</v>
      </c>
      <c r="AB4" s="253">
        <f>X4/30*AA4</f>
        <v>11206.066666666668</v>
      </c>
      <c r="AC4" s="255"/>
      <c r="AD4" s="255"/>
      <c r="AE4" s="256" t="e">
        <f>AB4+Y4+#REF!</f>
        <v>#REF!</v>
      </c>
      <c r="AF4" s="256">
        <v>2986</v>
      </c>
      <c r="AG4" s="22"/>
    </row>
    <row r="5" spans="1:33" x14ac:dyDescent="0.25">
      <c r="A5" s="13" t="s">
        <v>26</v>
      </c>
      <c r="B5" s="92" t="s">
        <v>1069</v>
      </c>
      <c r="C5" s="86" t="s">
        <v>1065</v>
      </c>
      <c r="D5" s="14"/>
      <c r="E5" s="16"/>
      <c r="F5" s="17"/>
      <c r="G5" s="17"/>
      <c r="H5" s="25"/>
      <c r="I5" s="18"/>
      <c r="J5" s="19"/>
      <c r="K5" s="19"/>
      <c r="L5" s="20"/>
      <c r="M5" s="20"/>
      <c r="N5" s="20"/>
      <c r="O5" s="20"/>
      <c r="P5" s="17"/>
      <c r="Q5" s="21"/>
      <c r="R5" s="22"/>
      <c r="S5" s="22"/>
      <c r="T5" s="86" t="s">
        <v>1071</v>
      </c>
      <c r="U5" s="91" t="s">
        <v>1176</v>
      </c>
      <c r="V5" s="45">
        <v>10000</v>
      </c>
      <c r="W5" s="23"/>
      <c r="X5" s="257">
        <v>6251</v>
      </c>
      <c r="Y5" s="30">
        <f>X5*3</f>
        <v>18753</v>
      </c>
      <c r="Z5" s="30"/>
      <c r="AA5" s="22">
        <v>26</v>
      </c>
      <c r="AB5" s="30">
        <f>X5/30*AA5</f>
        <v>5417.5333333333338</v>
      </c>
      <c r="AC5" s="21"/>
      <c r="AD5" s="21"/>
      <c r="AE5" s="31" t="e">
        <f>AB5+Y5+#REF!</f>
        <v>#REF!</v>
      </c>
      <c r="AF5" s="31">
        <v>1222</v>
      </c>
      <c r="AG5" s="22"/>
    </row>
    <row r="6" spans="1:33" x14ac:dyDescent="0.25">
      <c r="A6" s="13" t="s">
        <v>29</v>
      </c>
      <c r="B6" s="94" t="s">
        <v>1177</v>
      </c>
      <c r="C6" s="91" t="s">
        <v>800</v>
      </c>
      <c r="D6" s="15"/>
      <c r="E6" s="16"/>
      <c r="F6" s="17"/>
      <c r="G6" s="17"/>
      <c r="H6" s="25"/>
      <c r="I6" s="18"/>
      <c r="J6" s="41"/>
      <c r="K6" s="19"/>
      <c r="L6" s="20"/>
      <c r="M6" s="20"/>
      <c r="N6" s="20"/>
      <c r="O6" s="20"/>
      <c r="P6" s="17"/>
      <c r="Q6" s="21"/>
      <c r="R6" s="22"/>
      <c r="S6" s="22"/>
      <c r="T6" s="91" t="s">
        <v>32</v>
      </c>
      <c r="U6" s="259">
        <v>2.1</v>
      </c>
      <c r="V6" s="45">
        <v>13000</v>
      </c>
      <c r="W6" s="23"/>
      <c r="X6" s="121">
        <v>9000</v>
      </c>
      <c r="Y6" s="30"/>
      <c r="Z6" s="68"/>
      <c r="AA6" s="247">
        <v>20</v>
      </c>
      <c r="AB6" s="30">
        <f>X6/30*AA6</f>
        <v>6000</v>
      </c>
      <c r="AC6" s="22"/>
      <c r="AD6" s="22"/>
      <c r="AE6" s="31" t="e">
        <f>AB6+Y6+#REF!</f>
        <v>#REF!</v>
      </c>
      <c r="AF6" s="31">
        <v>900</v>
      </c>
      <c r="AG6" s="22"/>
    </row>
    <row r="7" spans="1:33" x14ac:dyDescent="0.25">
      <c r="A7" s="13" t="s">
        <v>31</v>
      </c>
      <c r="B7" s="92" t="s">
        <v>831</v>
      </c>
      <c r="C7" s="86" t="s">
        <v>37</v>
      </c>
      <c r="D7" s="15"/>
      <c r="E7" s="16"/>
      <c r="F7" s="17"/>
      <c r="G7" s="17"/>
      <c r="H7" s="25"/>
      <c r="I7" s="18"/>
      <c r="J7" s="41"/>
      <c r="K7" s="19"/>
      <c r="L7" s="20"/>
      <c r="M7" s="20"/>
      <c r="N7" s="20"/>
      <c r="O7" s="20"/>
      <c r="P7" s="17"/>
      <c r="Q7" s="21"/>
      <c r="R7" s="22"/>
      <c r="S7" s="22"/>
      <c r="T7" s="91" t="s">
        <v>32</v>
      </c>
      <c r="U7" s="259">
        <v>2.1</v>
      </c>
      <c r="V7" s="45">
        <v>13000</v>
      </c>
      <c r="W7" s="23"/>
      <c r="X7" s="121">
        <v>5400</v>
      </c>
      <c r="Y7" s="30"/>
      <c r="Z7" s="68"/>
      <c r="AA7" s="247">
        <v>20</v>
      </c>
      <c r="AB7" s="30">
        <f>X7/30*AA7</f>
        <v>3600</v>
      </c>
      <c r="AC7" s="22"/>
      <c r="AD7" s="22"/>
      <c r="AE7" s="31" t="e">
        <f>AB7+Y7+#REF!</f>
        <v>#REF!</v>
      </c>
      <c r="AF7" s="31">
        <v>540</v>
      </c>
      <c r="AG7" s="22"/>
    </row>
    <row r="8" spans="1:33" x14ac:dyDescent="0.25">
      <c r="A8" s="13" t="s">
        <v>33</v>
      </c>
      <c r="B8" s="252" t="s">
        <v>1174</v>
      </c>
      <c r="C8" s="86" t="s">
        <v>37</v>
      </c>
      <c r="D8" s="14"/>
      <c r="E8" s="16"/>
      <c r="F8" s="17"/>
      <c r="G8" s="17"/>
      <c r="H8" s="25"/>
      <c r="I8" s="18"/>
      <c r="J8" s="41"/>
      <c r="K8" s="19"/>
      <c r="L8" s="20"/>
      <c r="M8" s="20"/>
      <c r="N8" s="20"/>
      <c r="O8" s="20"/>
      <c r="P8" s="17"/>
      <c r="Q8" s="21"/>
      <c r="R8" s="22"/>
      <c r="S8" s="22"/>
      <c r="T8" s="91" t="s">
        <v>1178</v>
      </c>
      <c r="U8" s="258">
        <v>0.2</v>
      </c>
      <c r="V8" s="45">
        <v>16000</v>
      </c>
      <c r="W8" s="23"/>
      <c r="X8" s="121">
        <v>5400</v>
      </c>
      <c r="Y8" s="30"/>
      <c r="Z8" s="22"/>
      <c r="AA8" s="247">
        <v>1</v>
      </c>
      <c r="AB8" s="30">
        <f>X8/30*AA8</f>
        <v>180</v>
      </c>
      <c r="AC8" s="30"/>
      <c r="AD8" s="30"/>
      <c r="AE8" s="31" t="e">
        <f>AB8+Y8+#REF!</f>
        <v>#REF!</v>
      </c>
      <c r="AF8" s="31">
        <v>540</v>
      </c>
      <c r="AG8" s="22"/>
    </row>
    <row r="9" spans="1:33" x14ac:dyDescent="0.25">
      <c r="A9" s="13" t="s">
        <v>35</v>
      </c>
      <c r="B9" s="94"/>
      <c r="C9" s="91"/>
      <c r="D9" s="14"/>
      <c r="E9" s="16"/>
      <c r="F9" s="17"/>
      <c r="G9" s="17"/>
      <c r="H9" s="25"/>
      <c r="I9" s="18"/>
      <c r="J9" s="19"/>
      <c r="K9" s="19"/>
      <c r="L9" s="20"/>
      <c r="M9" s="20"/>
      <c r="N9" s="20"/>
      <c r="O9" s="20"/>
      <c r="P9" s="17"/>
      <c r="Q9" s="21"/>
      <c r="R9" s="22"/>
      <c r="S9" s="22"/>
      <c r="T9" s="86"/>
      <c r="U9" s="86"/>
      <c r="V9" s="45"/>
      <c r="W9" s="23"/>
      <c r="X9" s="121"/>
      <c r="Y9" s="30"/>
      <c r="Z9" s="30"/>
      <c r="AA9" s="247"/>
      <c r="AB9" s="30"/>
      <c r="AC9" s="21"/>
      <c r="AD9" s="21"/>
      <c r="AE9" s="31"/>
      <c r="AF9" s="31"/>
      <c r="AG9" s="22"/>
    </row>
    <row r="10" spans="1:33" s="12" customFormat="1" x14ac:dyDescent="0.25">
      <c r="A10" s="223"/>
      <c r="B10" s="224" t="s">
        <v>48</v>
      </c>
      <c r="C10" s="225"/>
      <c r="D10" s="225"/>
      <c r="E10" s="225"/>
      <c r="F10" s="226"/>
      <c r="G10" s="226"/>
      <c r="H10" s="226"/>
      <c r="I10" s="225"/>
      <c r="J10" s="227">
        <f>SUM(J4:J7)</f>
        <v>0</v>
      </c>
      <c r="K10" s="228"/>
      <c r="L10" s="226"/>
      <c r="M10" s="229"/>
      <c r="N10" s="226"/>
      <c r="O10" s="226"/>
      <c r="P10" s="229"/>
      <c r="Q10" s="225"/>
      <c r="R10" s="225"/>
      <c r="S10" s="225"/>
      <c r="T10" s="225"/>
      <c r="U10" s="225"/>
      <c r="V10" s="216"/>
      <c r="W10" s="224"/>
      <c r="X10" s="226">
        <f>SUM(X4:X8)</f>
        <v>41332</v>
      </c>
      <c r="Y10" s="226">
        <f>SUM(Y4:Y7)</f>
        <v>64596</v>
      </c>
      <c r="Z10" s="226">
        <f>SUM(Z4:Z6)</f>
        <v>0</v>
      </c>
      <c r="AA10" s="225"/>
      <c r="AB10" s="226">
        <f>SUM(AB4:AB8)</f>
        <v>26403.600000000002</v>
      </c>
      <c r="AC10" s="226"/>
      <c r="AD10" s="226"/>
      <c r="AE10" s="226" t="e">
        <f>SUM(AE4:AE8)</f>
        <v>#REF!</v>
      </c>
      <c r="AF10" s="226">
        <v>6188</v>
      </c>
      <c r="AG10" s="225"/>
    </row>
    <row r="12" spans="1:33" x14ac:dyDescent="0.25">
      <c r="C12" s="1" t="s">
        <v>1100</v>
      </c>
      <c r="V12" s="213">
        <f>14/12*9</f>
        <v>10.5</v>
      </c>
    </row>
    <row r="13" spans="1:33" x14ac:dyDescent="0.25">
      <c r="V13" s="213">
        <v>28</v>
      </c>
    </row>
    <row r="14" spans="1:33" x14ac:dyDescent="0.25">
      <c r="V14" s="213">
        <f>SUM(V12:V13)</f>
        <v>38.5</v>
      </c>
    </row>
    <row r="15" spans="1:33" x14ac:dyDescent="0.25">
      <c r="V15" s="213">
        <f>V14/2</f>
        <v>19.25</v>
      </c>
    </row>
    <row r="16" spans="1:33" x14ac:dyDescent="0.25">
      <c r="A16" s="307" t="s">
        <v>0</v>
      </c>
      <c r="B16" s="307"/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260"/>
    </row>
    <row r="17" spans="1:36" x14ac:dyDescent="0.25">
      <c r="A17" s="308" t="s">
        <v>100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260"/>
    </row>
    <row r="18" spans="1:36" ht="63" x14ac:dyDescent="0.25">
      <c r="A18" s="214" t="s">
        <v>2</v>
      </c>
      <c r="B18" s="215" t="s">
        <v>3</v>
      </c>
      <c r="C18" s="216" t="s">
        <v>4</v>
      </c>
      <c r="D18" s="217" t="s">
        <v>5</v>
      </c>
      <c r="E18" s="218"/>
      <c r="F18" s="218"/>
      <c r="G18" s="218"/>
      <c r="H18" s="218"/>
      <c r="I18" s="218"/>
      <c r="J18" s="219" t="s">
        <v>6</v>
      </c>
      <c r="K18" s="219" t="s">
        <v>7</v>
      </c>
      <c r="L18" s="220"/>
      <c r="M18" s="220"/>
      <c r="N18" s="309" t="s">
        <v>8</v>
      </c>
      <c r="O18" s="309"/>
      <c r="P18" s="309"/>
      <c r="Q18" s="217" t="s">
        <v>9</v>
      </c>
      <c r="R18" s="217" t="s">
        <v>10</v>
      </c>
      <c r="S18" s="217"/>
      <c r="T18" s="217" t="s">
        <v>11</v>
      </c>
      <c r="U18" s="217" t="s">
        <v>1172</v>
      </c>
      <c r="V18" s="217" t="s">
        <v>6</v>
      </c>
      <c r="W18" s="221" t="s">
        <v>13</v>
      </c>
      <c r="X18" s="251" t="s">
        <v>1165</v>
      </c>
      <c r="Y18" s="222" t="s">
        <v>15</v>
      </c>
      <c r="Z18" s="217" t="s">
        <v>1140</v>
      </c>
      <c r="AA18" s="309" t="s">
        <v>17</v>
      </c>
      <c r="AB18" s="309"/>
      <c r="AC18" s="217" t="s">
        <v>1181</v>
      </c>
      <c r="AD18" s="217" t="s">
        <v>1179</v>
      </c>
      <c r="AE18" s="216" t="s">
        <v>19</v>
      </c>
      <c r="AF18" s="216" t="s">
        <v>1173</v>
      </c>
      <c r="AG18" s="216" t="s">
        <v>13</v>
      </c>
    </row>
    <row r="19" spans="1:36" x14ac:dyDescent="0.25">
      <c r="A19" s="13" t="s">
        <v>20</v>
      </c>
      <c r="B19" s="94" t="s">
        <v>509</v>
      </c>
      <c r="C19" s="91" t="s">
        <v>37</v>
      </c>
      <c r="D19" s="14"/>
      <c r="E19" s="16"/>
      <c r="F19" s="17"/>
      <c r="G19" s="17"/>
      <c r="H19" s="25"/>
      <c r="I19" s="18"/>
      <c r="J19" s="19"/>
      <c r="K19" s="19"/>
      <c r="L19" s="20"/>
      <c r="M19" s="20"/>
      <c r="N19" s="20"/>
      <c r="O19" s="20"/>
      <c r="P19" s="17"/>
      <c r="Q19" s="21"/>
      <c r="R19" s="22"/>
      <c r="S19" s="22"/>
      <c r="T19" s="91" t="s">
        <v>505</v>
      </c>
      <c r="U19" s="91" t="s">
        <v>1184</v>
      </c>
      <c r="V19" s="45">
        <v>23000</v>
      </c>
      <c r="W19" s="23"/>
      <c r="X19" s="158">
        <v>9929</v>
      </c>
      <c r="Y19" s="253"/>
      <c r="Z19" s="30"/>
      <c r="AA19" s="254">
        <v>19</v>
      </c>
      <c r="AB19" s="253">
        <f>X19/30*AA19</f>
        <v>6288.3666666666659</v>
      </c>
      <c r="AC19" s="255"/>
      <c r="AD19" s="255"/>
      <c r="AE19" s="30">
        <f>Y19+AB19+AC19+AD19</f>
        <v>6288.3666666666659</v>
      </c>
      <c r="AF19" s="30">
        <f>(497+521+521+521+521)*2</f>
        <v>5162</v>
      </c>
      <c r="AG19" s="22"/>
    </row>
    <row r="20" spans="1:36" x14ac:dyDescent="0.25">
      <c r="A20" s="13" t="s">
        <v>26</v>
      </c>
      <c r="B20" s="94" t="s">
        <v>488</v>
      </c>
      <c r="C20" s="261" t="s">
        <v>1180</v>
      </c>
      <c r="D20" s="14"/>
      <c r="E20" s="16"/>
      <c r="F20" s="17"/>
      <c r="G20" s="17"/>
      <c r="H20" s="25"/>
      <c r="I20" s="18"/>
      <c r="J20" s="19"/>
      <c r="K20" s="19"/>
      <c r="L20" s="20"/>
      <c r="M20" s="20"/>
      <c r="N20" s="20"/>
      <c r="O20" s="20"/>
      <c r="P20" s="17"/>
      <c r="Q20" s="21"/>
      <c r="R20" s="22"/>
      <c r="S20" s="22"/>
      <c r="T20" s="91" t="s">
        <v>1182</v>
      </c>
      <c r="U20" s="91" t="s">
        <v>1183</v>
      </c>
      <c r="V20" s="45"/>
      <c r="W20" s="23"/>
      <c r="X20" s="262">
        <v>10419</v>
      </c>
      <c r="Y20" s="30">
        <f>X20*3</f>
        <v>31257</v>
      </c>
      <c r="Z20" s="30"/>
      <c r="AA20" s="22">
        <v>30</v>
      </c>
      <c r="AB20" s="253">
        <f>X20/30*AA20</f>
        <v>10419</v>
      </c>
      <c r="AC20" s="30"/>
      <c r="AD20" s="21"/>
      <c r="AE20" s="30">
        <f>Y20+AB20+AC20+AD20</f>
        <v>41676</v>
      </c>
      <c r="AF20" s="30">
        <f>(474+496+496+496+496)*2</f>
        <v>4916</v>
      </c>
      <c r="AG20" s="22"/>
    </row>
    <row r="21" spans="1:36" x14ac:dyDescent="0.25">
      <c r="A21" s="13" t="s">
        <v>29</v>
      </c>
      <c r="B21" s="94"/>
      <c r="C21" s="91"/>
      <c r="D21" s="15"/>
      <c r="E21" s="16"/>
      <c r="F21" s="17"/>
      <c r="G21" s="17"/>
      <c r="H21" s="25"/>
      <c r="I21" s="18"/>
      <c r="J21" s="41"/>
      <c r="K21" s="19"/>
      <c r="L21" s="20"/>
      <c r="M21" s="20"/>
      <c r="N21" s="20"/>
      <c r="O21" s="20"/>
      <c r="P21" s="17"/>
      <c r="Q21" s="21"/>
      <c r="R21" s="22"/>
      <c r="S21" s="22"/>
      <c r="T21" s="91"/>
      <c r="U21" s="259"/>
      <c r="V21" s="45"/>
      <c r="W21" s="23"/>
      <c r="X21" s="121"/>
      <c r="Y21" s="30"/>
      <c r="Z21" s="68"/>
      <c r="AA21" s="247"/>
      <c r="AB21" s="30"/>
      <c r="AC21" s="22"/>
      <c r="AD21" s="22"/>
      <c r="AE21" s="31"/>
      <c r="AF21" s="31"/>
      <c r="AG21" s="22"/>
    </row>
    <row r="22" spans="1:36" x14ac:dyDescent="0.25">
      <c r="A22" s="13" t="s">
        <v>31</v>
      </c>
      <c r="B22" s="92"/>
      <c r="C22" s="86"/>
      <c r="D22" s="15"/>
      <c r="E22" s="16"/>
      <c r="F22" s="17"/>
      <c r="G22" s="17"/>
      <c r="H22" s="25"/>
      <c r="I22" s="18"/>
      <c r="J22" s="41"/>
      <c r="K22" s="19"/>
      <c r="L22" s="20"/>
      <c r="M22" s="20"/>
      <c r="N22" s="20"/>
      <c r="O22" s="20"/>
      <c r="P22" s="17"/>
      <c r="Q22" s="21"/>
      <c r="R22" s="22"/>
      <c r="S22" s="22"/>
      <c r="T22" s="91"/>
      <c r="U22" s="259"/>
      <c r="V22" s="45"/>
      <c r="W22" s="23"/>
      <c r="X22" s="121"/>
      <c r="Y22" s="30"/>
      <c r="Z22" s="68"/>
      <c r="AA22" s="247"/>
      <c r="AB22" s="30"/>
      <c r="AC22" s="22"/>
      <c r="AD22" s="22"/>
      <c r="AE22" s="31"/>
      <c r="AF22" s="31"/>
      <c r="AG22" s="22"/>
    </row>
    <row r="23" spans="1:36" x14ac:dyDescent="0.25">
      <c r="A23" s="13" t="s">
        <v>33</v>
      </c>
      <c r="B23" s="252"/>
      <c r="C23" s="86"/>
      <c r="D23" s="14"/>
      <c r="E23" s="16"/>
      <c r="F23" s="17"/>
      <c r="G23" s="17"/>
      <c r="H23" s="25"/>
      <c r="I23" s="18"/>
      <c r="J23" s="41"/>
      <c r="K23" s="19"/>
      <c r="L23" s="20"/>
      <c r="M23" s="20"/>
      <c r="N23" s="20"/>
      <c r="O23" s="20"/>
      <c r="P23" s="17"/>
      <c r="Q23" s="21"/>
      <c r="R23" s="22"/>
      <c r="S23" s="22"/>
      <c r="T23" s="91"/>
      <c r="U23" s="258"/>
      <c r="V23" s="45"/>
      <c r="W23" s="23"/>
      <c r="X23" s="121"/>
      <c r="Y23" s="30"/>
      <c r="Z23" s="22"/>
      <c r="AA23" s="247"/>
      <c r="AB23" s="30"/>
      <c r="AC23" s="30"/>
      <c r="AD23" s="30"/>
      <c r="AE23" s="31"/>
      <c r="AF23" s="31"/>
      <c r="AG23" s="22"/>
    </row>
    <row r="24" spans="1:36" x14ac:dyDescent="0.25">
      <c r="A24" s="13" t="s">
        <v>35</v>
      </c>
      <c r="B24" s="94"/>
      <c r="C24" s="91"/>
      <c r="D24" s="14"/>
      <c r="E24" s="16"/>
      <c r="F24" s="17"/>
      <c r="G24" s="17"/>
      <c r="H24" s="25"/>
      <c r="I24" s="18"/>
      <c r="J24" s="19"/>
      <c r="K24" s="19"/>
      <c r="L24" s="20"/>
      <c r="M24" s="20"/>
      <c r="N24" s="20"/>
      <c r="O24" s="20"/>
      <c r="P24" s="17"/>
      <c r="Q24" s="21"/>
      <c r="R24" s="22"/>
      <c r="S24" s="22"/>
      <c r="T24" s="86"/>
      <c r="U24" s="86"/>
      <c r="V24" s="45"/>
      <c r="W24" s="23"/>
      <c r="X24" s="121"/>
      <c r="Y24" s="30"/>
      <c r="Z24" s="30"/>
      <c r="AA24" s="247"/>
      <c r="AB24" s="30"/>
      <c r="AC24" s="21"/>
      <c r="AD24" s="21"/>
      <c r="AE24" s="31"/>
      <c r="AF24" s="31"/>
      <c r="AG24" s="22"/>
    </row>
    <row r="25" spans="1:36" x14ac:dyDescent="0.25">
      <c r="A25" s="223"/>
      <c r="B25" s="224" t="s">
        <v>48</v>
      </c>
      <c r="C25" s="225"/>
      <c r="D25" s="225"/>
      <c r="E25" s="225"/>
      <c r="F25" s="226"/>
      <c r="G25" s="226"/>
      <c r="H25" s="226"/>
      <c r="I25" s="225"/>
      <c r="J25" s="227">
        <f>SUM(J19:J22)</f>
        <v>0</v>
      </c>
      <c r="K25" s="228"/>
      <c r="L25" s="226"/>
      <c r="M25" s="229"/>
      <c r="N25" s="226"/>
      <c r="O25" s="226"/>
      <c r="P25" s="229"/>
      <c r="Q25" s="225"/>
      <c r="R25" s="225"/>
      <c r="S25" s="225"/>
      <c r="T25" s="225"/>
      <c r="U25" s="225"/>
      <c r="V25" s="216"/>
      <c r="W25" s="224"/>
      <c r="X25" s="226"/>
      <c r="Y25" s="226">
        <f>SUM(Y19:Y23)</f>
        <v>31257</v>
      </c>
      <c r="Z25" s="226"/>
      <c r="AA25" s="225"/>
      <c r="AB25" s="226">
        <f>SUM(AB19:AB23)</f>
        <v>16707.366666666665</v>
      </c>
      <c r="AC25" s="226"/>
      <c r="AD25" s="226"/>
      <c r="AE25" s="226">
        <f>SUM(AE19:AE23)</f>
        <v>47964.366666666669</v>
      </c>
      <c r="AF25" s="226">
        <f>AF19+AF20</f>
        <v>10078</v>
      </c>
      <c r="AG25" s="225"/>
    </row>
    <row r="29" spans="1:36" x14ac:dyDescent="0.25">
      <c r="A29" s="307" t="s">
        <v>0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260"/>
      <c r="AJ29" s="1">
        <f>14/12*9</f>
        <v>10.5</v>
      </c>
    </row>
    <row r="30" spans="1:36" x14ac:dyDescent="0.25">
      <c r="A30" s="308" t="s">
        <v>100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260"/>
    </row>
    <row r="31" spans="1:36" ht="63" x14ac:dyDescent="0.25">
      <c r="A31" s="214" t="s">
        <v>2</v>
      </c>
      <c r="B31" s="215" t="s">
        <v>3</v>
      </c>
      <c r="C31" s="216" t="s">
        <v>4</v>
      </c>
      <c r="D31" s="217" t="s">
        <v>5</v>
      </c>
      <c r="E31" s="218"/>
      <c r="F31" s="218"/>
      <c r="G31" s="218"/>
      <c r="H31" s="218"/>
      <c r="I31" s="218"/>
      <c r="J31" s="219" t="s">
        <v>6</v>
      </c>
      <c r="K31" s="219" t="s">
        <v>7</v>
      </c>
      <c r="L31" s="220"/>
      <c r="M31" s="220"/>
      <c r="N31" s="309" t="s">
        <v>8</v>
      </c>
      <c r="O31" s="309"/>
      <c r="P31" s="309"/>
      <c r="Q31" s="217" t="s">
        <v>9</v>
      </c>
      <c r="R31" s="217" t="s">
        <v>10</v>
      </c>
      <c r="S31" s="217"/>
      <c r="T31" s="217" t="s">
        <v>11</v>
      </c>
      <c r="U31" s="217" t="s">
        <v>1172</v>
      </c>
      <c r="V31" s="217" t="s">
        <v>6</v>
      </c>
      <c r="W31" s="221" t="s">
        <v>13</v>
      </c>
      <c r="X31" s="251" t="s">
        <v>1165</v>
      </c>
      <c r="Y31" s="222" t="s">
        <v>15</v>
      </c>
      <c r="Z31" s="217" t="s">
        <v>1140</v>
      </c>
      <c r="AA31" s="309" t="s">
        <v>17</v>
      </c>
      <c r="AB31" s="309"/>
      <c r="AC31" s="217" t="s">
        <v>1181</v>
      </c>
      <c r="AD31" s="217" t="s">
        <v>1179</v>
      </c>
      <c r="AE31" s="216" t="s">
        <v>19</v>
      </c>
      <c r="AF31" s="216" t="s">
        <v>1173</v>
      </c>
      <c r="AG31" s="216" t="s">
        <v>13</v>
      </c>
    </row>
    <row r="32" spans="1:36" x14ac:dyDescent="0.25">
      <c r="A32" s="13" t="s">
        <v>20</v>
      </c>
      <c r="B32" s="94" t="s">
        <v>1185</v>
      </c>
      <c r="C32" s="91" t="s">
        <v>87</v>
      </c>
      <c r="D32" s="14"/>
      <c r="E32" s="16"/>
      <c r="F32" s="17"/>
      <c r="G32" s="17"/>
      <c r="H32" s="25"/>
      <c r="I32" s="18"/>
      <c r="J32" s="19"/>
      <c r="K32" s="19"/>
      <c r="L32" s="20"/>
      <c r="M32" s="20"/>
      <c r="N32" s="20"/>
      <c r="O32" s="20"/>
      <c r="P32" s="17"/>
      <c r="Q32" s="21"/>
      <c r="R32" s="22"/>
      <c r="S32" s="22"/>
      <c r="T32" s="263" t="s">
        <v>1190</v>
      </c>
      <c r="U32" s="91" t="s">
        <v>1192</v>
      </c>
      <c r="V32" s="45">
        <v>23000</v>
      </c>
      <c r="W32" s="23"/>
      <c r="X32" s="158">
        <v>9000</v>
      </c>
      <c r="Y32" s="253"/>
      <c r="Z32" s="30"/>
      <c r="AA32" s="254">
        <v>11</v>
      </c>
      <c r="AB32" s="253">
        <f>X32/30*AA32</f>
        <v>3300</v>
      </c>
      <c r="AC32" s="255"/>
      <c r="AD32" s="255"/>
      <c r="AE32" s="30">
        <f>Y32+AB32+AC32+AD32</f>
        <v>3300</v>
      </c>
      <c r="AF32" s="30">
        <v>5400</v>
      </c>
      <c r="AG32" s="30">
        <f>AE32+AF32</f>
        <v>8700</v>
      </c>
    </row>
    <row r="33" spans="1:36" x14ac:dyDescent="0.25">
      <c r="A33" s="13" t="s">
        <v>26</v>
      </c>
      <c r="B33" s="94" t="s">
        <v>1186</v>
      </c>
      <c r="C33" s="261" t="s">
        <v>1187</v>
      </c>
      <c r="D33" s="14"/>
      <c r="E33" s="16"/>
      <c r="F33" s="17"/>
      <c r="G33" s="17"/>
      <c r="H33" s="25"/>
      <c r="I33" s="18"/>
      <c r="J33" s="19"/>
      <c r="K33" s="19"/>
      <c r="L33" s="20"/>
      <c r="M33" s="20"/>
      <c r="N33" s="20"/>
      <c r="O33" s="20"/>
      <c r="P33" s="17"/>
      <c r="Q33" s="21"/>
      <c r="R33" s="22"/>
      <c r="S33" s="22"/>
      <c r="T33" s="263" t="s">
        <v>1191</v>
      </c>
      <c r="U33" s="91" t="s">
        <v>1193</v>
      </c>
      <c r="V33" s="45"/>
      <c r="W33" s="23"/>
      <c r="X33" s="262">
        <v>5400</v>
      </c>
      <c r="Y33" s="30"/>
      <c r="Z33" s="30"/>
      <c r="AA33" s="22">
        <v>4</v>
      </c>
      <c r="AB33" s="253">
        <f>X33/30*AA33</f>
        <v>720</v>
      </c>
      <c r="AC33" s="30"/>
      <c r="AD33" s="21"/>
      <c r="AE33" s="30">
        <f>Y33+AB33+AC33+AD33</f>
        <v>720</v>
      </c>
      <c r="AF33" s="30">
        <v>3240</v>
      </c>
      <c r="AG33" s="30">
        <f t="shared" ref="AG33:AG34" si="0">AE33+AF33</f>
        <v>3960</v>
      </c>
      <c r="AH33" s="1">
        <v>300</v>
      </c>
      <c r="AJ33" s="1">
        <f>X33*5%</f>
        <v>270</v>
      </c>
    </row>
    <row r="34" spans="1:36" x14ac:dyDescent="0.25">
      <c r="A34" s="13" t="s">
        <v>29</v>
      </c>
      <c r="B34" s="94" t="s">
        <v>1188</v>
      </c>
      <c r="C34" s="91" t="s">
        <v>57</v>
      </c>
      <c r="D34" s="15"/>
      <c r="E34" s="16"/>
      <c r="F34" s="17"/>
      <c r="G34" s="17"/>
      <c r="H34" s="25"/>
      <c r="I34" s="18"/>
      <c r="J34" s="41"/>
      <c r="K34" s="19"/>
      <c r="L34" s="20"/>
      <c r="M34" s="20"/>
      <c r="N34" s="20"/>
      <c r="O34" s="20"/>
      <c r="P34" s="17"/>
      <c r="Q34" s="21"/>
      <c r="R34" s="22"/>
      <c r="S34" s="22"/>
      <c r="T34" s="263" t="s">
        <v>1189</v>
      </c>
      <c r="U34" s="91" t="s">
        <v>1192</v>
      </c>
      <c r="V34" s="45"/>
      <c r="W34" s="23"/>
      <c r="X34" s="121">
        <v>6000</v>
      </c>
      <c r="Y34" s="30"/>
      <c r="Z34" s="68"/>
      <c r="AA34" s="247">
        <v>9</v>
      </c>
      <c r="AB34" s="253">
        <f>X34/30*AA34</f>
        <v>1800</v>
      </c>
      <c r="AC34" s="22"/>
      <c r="AD34" s="22"/>
      <c r="AE34" s="30">
        <f>Y34+AB34+AC34+AD34</f>
        <v>1800</v>
      </c>
      <c r="AF34" s="31">
        <v>4200</v>
      </c>
      <c r="AG34" s="30">
        <f t="shared" si="0"/>
        <v>6000</v>
      </c>
      <c r="AH34" s="1">
        <f>AH33*7</f>
        <v>2100</v>
      </c>
      <c r="AI34" s="1">
        <f>AH34*2</f>
        <v>4200</v>
      </c>
    </row>
    <row r="35" spans="1:36" x14ac:dyDescent="0.25">
      <c r="A35" s="13" t="s">
        <v>31</v>
      </c>
      <c r="B35" s="92"/>
      <c r="C35" s="86"/>
      <c r="D35" s="15"/>
      <c r="E35" s="16"/>
      <c r="F35" s="17"/>
      <c r="G35" s="17"/>
      <c r="H35" s="25"/>
      <c r="I35" s="18"/>
      <c r="J35" s="41"/>
      <c r="K35" s="19"/>
      <c r="L35" s="20"/>
      <c r="M35" s="20"/>
      <c r="N35" s="20"/>
      <c r="O35" s="20"/>
      <c r="P35" s="17"/>
      <c r="Q35" s="21"/>
      <c r="R35" s="22"/>
      <c r="S35" s="22"/>
      <c r="T35" s="91"/>
      <c r="U35" s="259"/>
      <c r="V35" s="45"/>
      <c r="W35" s="23"/>
      <c r="X35" s="121"/>
      <c r="Y35" s="30"/>
      <c r="Z35" s="68"/>
      <c r="AA35" s="247"/>
      <c r="AB35" s="30"/>
      <c r="AC35" s="22"/>
      <c r="AD35" s="22"/>
      <c r="AE35" s="31"/>
      <c r="AF35" s="31"/>
      <c r="AG35" s="22"/>
    </row>
    <row r="36" spans="1:36" x14ac:dyDescent="0.25">
      <c r="A36" s="13" t="s">
        <v>33</v>
      </c>
      <c r="B36" s="252"/>
      <c r="C36" s="86"/>
      <c r="D36" s="14"/>
      <c r="E36" s="16"/>
      <c r="F36" s="17"/>
      <c r="G36" s="17"/>
      <c r="H36" s="25"/>
      <c r="I36" s="18"/>
      <c r="J36" s="41"/>
      <c r="K36" s="19"/>
      <c r="L36" s="20"/>
      <c r="M36" s="20"/>
      <c r="N36" s="20"/>
      <c r="O36" s="20"/>
      <c r="P36" s="17"/>
      <c r="Q36" s="21"/>
      <c r="R36" s="22"/>
      <c r="S36" s="22"/>
      <c r="T36" s="91"/>
      <c r="U36" s="258"/>
      <c r="V36" s="45"/>
      <c r="W36" s="23"/>
      <c r="X36" s="121"/>
      <c r="Y36" s="30"/>
      <c r="Z36" s="22"/>
      <c r="AA36" s="247"/>
      <c r="AB36" s="30"/>
      <c r="AC36" s="30"/>
      <c r="AD36" s="30"/>
      <c r="AE36" s="31"/>
      <c r="AF36" s="31"/>
      <c r="AG36" s="22"/>
    </row>
    <row r="37" spans="1:36" x14ac:dyDescent="0.25">
      <c r="A37" s="13" t="s">
        <v>35</v>
      </c>
      <c r="B37" s="94"/>
      <c r="C37" s="91"/>
      <c r="D37" s="14"/>
      <c r="E37" s="16"/>
      <c r="F37" s="17"/>
      <c r="G37" s="17"/>
      <c r="H37" s="25"/>
      <c r="I37" s="18"/>
      <c r="J37" s="19"/>
      <c r="K37" s="19"/>
      <c r="L37" s="20"/>
      <c r="M37" s="20"/>
      <c r="N37" s="20"/>
      <c r="O37" s="20"/>
      <c r="P37" s="17"/>
      <c r="Q37" s="21"/>
      <c r="R37" s="22"/>
      <c r="S37" s="22"/>
      <c r="T37" s="86"/>
      <c r="U37" s="86"/>
      <c r="V37" s="45"/>
      <c r="W37" s="23"/>
      <c r="X37" s="121"/>
      <c r="Y37" s="30"/>
      <c r="Z37" s="30"/>
      <c r="AA37" s="247"/>
      <c r="AB37" s="30"/>
      <c r="AC37" s="21"/>
      <c r="AD37" s="21"/>
      <c r="AE37" s="31"/>
      <c r="AF37" s="31"/>
      <c r="AG37" s="22"/>
    </row>
    <row r="38" spans="1:36" x14ac:dyDescent="0.25">
      <c r="A38" s="223"/>
      <c r="B38" s="224" t="s">
        <v>48</v>
      </c>
      <c r="C38" s="225"/>
      <c r="D38" s="225"/>
      <c r="E38" s="225"/>
      <c r="F38" s="226"/>
      <c r="G38" s="226"/>
      <c r="H38" s="226"/>
      <c r="I38" s="225"/>
      <c r="J38" s="227">
        <f>SUM(J32:J35)</f>
        <v>0</v>
      </c>
      <c r="K38" s="228"/>
      <c r="L38" s="226"/>
      <c r="M38" s="229"/>
      <c r="N38" s="226"/>
      <c r="O38" s="226"/>
      <c r="P38" s="229"/>
      <c r="Q38" s="225"/>
      <c r="R38" s="225"/>
      <c r="S38" s="225"/>
      <c r="T38" s="225"/>
      <c r="U38" s="225"/>
      <c r="V38" s="216"/>
      <c r="W38" s="224"/>
      <c r="X38" s="226"/>
      <c r="Y38" s="226">
        <f>SUM(Y32:Y36)</f>
        <v>0</v>
      </c>
      <c r="Z38" s="226"/>
      <c r="AA38" s="225"/>
      <c r="AB38" s="226">
        <f>SUM(AB32:AB36)</f>
        <v>5820</v>
      </c>
      <c r="AC38" s="226"/>
      <c r="AD38" s="226"/>
      <c r="AE38" s="226">
        <f>SUM(AE32:AE36)</f>
        <v>5820</v>
      </c>
      <c r="AF38" s="226">
        <f>SUM(AF32:AF36)</f>
        <v>12840</v>
      </c>
      <c r="AG38" s="226">
        <f>SUM(AG32:AG36)</f>
        <v>18660</v>
      </c>
    </row>
    <row r="39" spans="1:36" x14ac:dyDescent="0.25">
      <c r="AI39" s="1">
        <f>25000</f>
        <v>25000</v>
      </c>
    </row>
    <row r="40" spans="1:36" x14ac:dyDescent="0.25">
      <c r="AI40" s="1">
        <f>AI39*7.5%</f>
        <v>1875</v>
      </c>
    </row>
    <row r="41" spans="1:36" x14ac:dyDescent="0.25">
      <c r="A41" s="307" t="s">
        <v>0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260"/>
      <c r="AI41" s="1">
        <f>SUM(AI39:AI40)</f>
        <v>26875</v>
      </c>
    </row>
    <row r="42" spans="1:36" x14ac:dyDescent="0.25">
      <c r="A42" s="308" t="s">
        <v>100</v>
      </c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260"/>
    </row>
    <row r="43" spans="1:36" ht="63" x14ac:dyDescent="0.25">
      <c r="A43" s="214" t="s">
        <v>2</v>
      </c>
      <c r="B43" s="215" t="s">
        <v>3</v>
      </c>
      <c r="C43" s="216" t="s">
        <v>4</v>
      </c>
      <c r="D43" s="217" t="s">
        <v>5</v>
      </c>
      <c r="E43" s="218"/>
      <c r="F43" s="218"/>
      <c r="G43" s="218"/>
      <c r="H43" s="218"/>
      <c r="I43" s="218"/>
      <c r="J43" s="219" t="s">
        <v>6</v>
      </c>
      <c r="K43" s="219" t="s">
        <v>7</v>
      </c>
      <c r="L43" s="220"/>
      <c r="M43" s="220"/>
      <c r="N43" s="309" t="s">
        <v>8</v>
      </c>
      <c r="O43" s="309"/>
      <c r="P43" s="309"/>
      <c r="Q43" s="217" t="s">
        <v>9</v>
      </c>
      <c r="R43" s="217" t="s">
        <v>10</v>
      </c>
      <c r="S43" s="217"/>
      <c r="T43" s="217" t="s">
        <v>11</v>
      </c>
      <c r="U43" s="217" t="s">
        <v>1172</v>
      </c>
      <c r="V43" s="217" t="s">
        <v>6</v>
      </c>
      <c r="W43" s="221" t="s">
        <v>13</v>
      </c>
      <c r="X43" s="251" t="s">
        <v>1165</v>
      </c>
      <c r="Y43" s="222" t="s">
        <v>15</v>
      </c>
      <c r="Z43" s="217" t="s">
        <v>1140</v>
      </c>
      <c r="AA43" s="309" t="s">
        <v>17</v>
      </c>
      <c r="AB43" s="309"/>
      <c r="AC43" s="217" t="s">
        <v>1181</v>
      </c>
      <c r="AD43" s="217" t="s">
        <v>1179</v>
      </c>
      <c r="AE43" s="216" t="s">
        <v>19</v>
      </c>
      <c r="AF43" s="216" t="s">
        <v>1173</v>
      </c>
      <c r="AG43" s="216" t="s">
        <v>13</v>
      </c>
    </row>
    <row r="44" spans="1:36" ht="30" x14ac:dyDescent="0.25">
      <c r="A44" s="13" t="s">
        <v>20</v>
      </c>
      <c r="B44" s="94" t="s">
        <v>1194</v>
      </c>
      <c r="C44" s="91" t="s">
        <v>1195</v>
      </c>
      <c r="D44" s="14"/>
      <c r="E44" s="16"/>
      <c r="F44" s="17"/>
      <c r="G44" s="17"/>
      <c r="H44" s="25"/>
      <c r="I44" s="18"/>
      <c r="J44" s="19"/>
      <c r="K44" s="19"/>
      <c r="L44" s="20"/>
      <c r="M44" s="20"/>
      <c r="N44" s="20"/>
      <c r="O44" s="20"/>
      <c r="P44" s="17"/>
      <c r="Q44" s="21"/>
      <c r="R44" s="22"/>
      <c r="S44" s="22"/>
      <c r="T44" s="263" t="s">
        <v>1196</v>
      </c>
      <c r="U44" s="91">
        <v>4.0999999999999996</v>
      </c>
      <c r="V44" s="45">
        <v>23000</v>
      </c>
      <c r="W44" s="23"/>
      <c r="X44" s="158">
        <v>78000</v>
      </c>
      <c r="Y44" s="253"/>
      <c r="Z44" s="30"/>
      <c r="AA44" s="254">
        <v>27</v>
      </c>
      <c r="AB44" s="253">
        <f>X44/30*AA44</f>
        <v>70200</v>
      </c>
      <c r="AC44" s="255"/>
      <c r="AD44" s="255"/>
      <c r="AE44" s="30">
        <f>Y44+AB44+AC44+AD44</f>
        <v>70200</v>
      </c>
      <c r="AF44" s="30"/>
      <c r="AG44" s="30">
        <f>AE44+AF44</f>
        <v>70200</v>
      </c>
      <c r="AI44" s="90">
        <f>14*4</f>
        <v>56</v>
      </c>
    </row>
    <row r="45" spans="1:36" x14ac:dyDescent="0.25">
      <c r="A45" s="13" t="s">
        <v>26</v>
      </c>
      <c r="B45" s="94" t="s">
        <v>1197</v>
      </c>
      <c r="C45" s="261" t="s">
        <v>1198</v>
      </c>
      <c r="D45" s="14"/>
      <c r="E45" s="16"/>
      <c r="F45" s="17"/>
      <c r="G45" s="17"/>
      <c r="H45" s="25"/>
      <c r="I45" s="18"/>
      <c r="J45" s="19"/>
      <c r="K45" s="19"/>
      <c r="L45" s="20"/>
      <c r="M45" s="20"/>
      <c r="N45" s="20"/>
      <c r="O45" s="20"/>
      <c r="P45" s="17"/>
      <c r="Q45" s="21"/>
      <c r="R45" s="22"/>
      <c r="S45" s="22"/>
      <c r="T45" s="91" t="s">
        <v>1178</v>
      </c>
      <c r="U45" s="91" t="s">
        <v>1192</v>
      </c>
      <c r="V45" s="45"/>
      <c r="W45" s="23"/>
      <c r="X45" s="262">
        <v>11610</v>
      </c>
      <c r="Y45" s="30"/>
      <c r="Z45" s="30"/>
      <c r="AA45" s="22">
        <f>1</f>
        <v>1</v>
      </c>
      <c r="AB45" s="253">
        <f>X45/30*AA45</f>
        <v>387</v>
      </c>
      <c r="AC45" s="30"/>
      <c r="AD45" s="21"/>
      <c r="AE45" s="30">
        <f>Y45+AB45+AC45+AD45</f>
        <v>387</v>
      </c>
      <c r="AF45" s="30"/>
      <c r="AG45" s="30">
        <f t="shared" ref="AG45" si="1">AE45+AF45</f>
        <v>387</v>
      </c>
      <c r="AI45" s="90">
        <f>14/12*1</f>
        <v>1.1666666666666667</v>
      </c>
    </row>
    <row r="46" spans="1:36" x14ac:dyDescent="0.25">
      <c r="A46" s="13" t="s">
        <v>29</v>
      </c>
      <c r="B46" s="94"/>
      <c r="C46" s="91"/>
      <c r="D46" s="15"/>
      <c r="E46" s="16"/>
      <c r="F46" s="17"/>
      <c r="G46" s="17"/>
      <c r="H46" s="25"/>
      <c r="I46" s="18"/>
      <c r="J46" s="41"/>
      <c r="K46" s="19"/>
      <c r="L46" s="20"/>
      <c r="M46" s="20"/>
      <c r="N46" s="20"/>
      <c r="O46" s="20"/>
      <c r="P46" s="17"/>
      <c r="Q46" s="21"/>
      <c r="R46" s="22"/>
      <c r="S46" s="22"/>
      <c r="T46" s="263"/>
      <c r="U46" s="91"/>
      <c r="V46" s="45"/>
      <c r="W46" s="23"/>
      <c r="X46" s="121"/>
      <c r="Y46" s="30"/>
      <c r="Z46" s="68"/>
      <c r="AA46" s="247"/>
      <c r="AB46" s="253"/>
      <c r="AC46" s="22"/>
      <c r="AD46" s="22"/>
      <c r="AE46" s="30"/>
      <c r="AF46" s="31"/>
      <c r="AG46" s="30"/>
      <c r="AI46" s="90">
        <f>SUM(AI44:AI45)</f>
        <v>57.166666666666664</v>
      </c>
    </row>
    <row r="47" spans="1:36" x14ac:dyDescent="0.25">
      <c r="A47" s="13" t="s">
        <v>31</v>
      </c>
      <c r="B47" s="92"/>
      <c r="C47" s="86"/>
      <c r="D47" s="15"/>
      <c r="E47" s="16"/>
      <c r="F47" s="17"/>
      <c r="G47" s="17"/>
      <c r="H47" s="25"/>
      <c r="I47" s="18"/>
      <c r="J47" s="41"/>
      <c r="K47" s="19"/>
      <c r="L47" s="20"/>
      <c r="M47" s="20"/>
      <c r="N47" s="20"/>
      <c r="O47" s="20"/>
      <c r="P47" s="17"/>
      <c r="Q47" s="21"/>
      <c r="R47" s="22"/>
      <c r="S47" s="22"/>
      <c r="T47" s="91"/>
      <c r="U47" s="259"/>
      <c r="V47" s="45"/>
      <c r="W47" s="23"/>
      <c r="X47" s="121"/>
      <c r="Y47" s="30"/>
      <c r="Z47" s="68"/>
      <c r="AA47" s="247"/>
      <c r="AB47" s="30"/>
      <c r="AC47" s="22"/>
      <c r="AD47" s="22"/>
      <c r="AE47" s="31"/>
      <c r="AF47" s="31"/>
      <c r="AG47" s="22"/>
      <c r="AI47" s="90">
        <f>AI46-4</f>
        <v>53.166666666666664</v>
      </c>
    </row>
    <row r="48" spans="1:36" x14ac:dyDescent="0.25">
      <c r="A48" s="13" t="s">
        <v>33</v>
      </c>
      <c r="B48" s="252"/>
      <c r="C48" s="86"/>
      <c r="D48" s="14"/>
      <c r="E48" s="16"/>
      <c r="F48" s="17"/>
      <c r="G48" s="17"/>
      <c r="H48" s="25"/>
      <c r="I48" s="18"/>
      <c r="J48" s="41"/>
      <c r="K48" s="19"/>
      <c r="L48" s="20"/>
      <c r="M48" s="20"/>
      <c r="N48" s="20"/>
      <c r="O48" s="20"/>
      <c r="P48" s="17"/>
      <c r="Q48" s="21"/>
      <c r="R48" s="22"/>
      <c r="S48" s="22"/>
      <c r="T48" s="91"/>
      <c r="U48" s="258"/>
      <c r="V48" s="45"/>
      <c r="W48" s="23"/>
      <c r="X48" s="121"/>
      <c r="Y48" s="30"/>
      <c r="Z48" s="22"/>
      <c r="AA48" s="247"/>
      <c r="AB48" s="30"/>
      <c r="AC48" s="30"/>
      <c r="AD48" s="30"/>
      <c r="AE48" s="31"/>
      <c r="AF48" s="31"/>
      <c r="AG48" s="22"/>
      <c r="AI48" s="1">
        <f>AI47/2</f>
        <v>26.583333333333332</v>
      </c>
    </row>
    <row r="49" spans="1:46" x14ac:dyDescent="0.25">
      <c r="A49" s="13" t="s">
        <v>35</v>
      </c>
      <c r="B49" s="94"/>
      <c r="C49" s="91"/>
      <c r="D49" s="14"/>
      <c r="E49" s="16"/>
      <c r="F49" s="17"/>
      <c r="G49" s="17"/>
      <c r="H49" s="25"/>
      <c r="I49" s="18"/>
      <c r="J49" s="19"/>
      <c r="K49" s="19"/>
      <c r="L49" s="20"/>
      <c r="M49" s="20"/>
      <c r="N49" s="20"/>
      <c r="O49" s="20"/>
      <c r="P49" s="17"/>
      <c r="Q49" s="21"/>
      <c r="R49" s="22"/>
      <c r="S49" s="22"/>
      <c r="T49" s="86"/>
      <c r="U49" s="86"/>
      <c r="V49" s="45"/>
      <c r="W49" s="23"/>
      <c r="X49" s="121"/>
      <c r="Y49" s="30"/>
      <c r="Z49" s="30"/>
      <c r="AA49" s="247"/>
      <c r="AB49" s="30"/>
      <c r="AC49" s="21"/>
      <c r="AD49" s="21"/>
      <c r="AE49" s="31"/>
      <c r="AF49" s="31"/>
      <c r="AG49" s="22"/>
    </row>
    <row r="50" spans="1:46" x14ac:dyDescent="0.25">
      <c r="A50" s="223"/>
      <c r="B50" s="224" t="s">
        <v>48</v>
      </c>
      <c r="C50" s="225"/>
      <c r="D50" s="225"/>
      <c r="E50" s="225"/>
      <c r="F50" s="226"/>
      <c r="G50" s="226"/>
      <c r="H50" s="226"/>
      <c r="I50" s="225"/>
      <c r="J50" s="227">
        <f>SUM(J44:J47)</f>
        <v>0</v>
      </c>
      <c r="K50" s="228"/>
      <c r="L50" s="226"/>
      <c r="M50" s="229"/>
      <c r="N50" s="226"/>
      <c r="O50" s="226"/>
      <c r="P50" s="229"/>
      <c r="Q50" s="225"/>
      <c r="R50" s="225"/>
      <c r="S50" s="225"/>
      <c r="T50" s="225"/>
      <c r="U50" s="225"/>
      <c r="V50" s="216"/>
      <c r="W50" s="224"/>
      <c r="X50" s="226"/>
      <c r="Y50" s="226">
        <f>SUM(Y44:Y48)</f>
        <v>0</v>
      </c>
      <c r="Z50" s="226"/>
      <c r="AA50" s="225"/>
      <c r="AB50" s="226">
        <f>SUM(AB44:AB48)</f>
        <v>70587</v>
      </c>
      <c r="AC50" s="226"/>
      <c r="AD50" s="226"/>
      <c r="AE50" s="226">
        <f>SUM(AE44:AE48)</f>
        <v>70587</v>
      </c>
      <c r="AF50" s="226">
        <f>SUM(AF44:AF48)</f>
        <v>0</v>
      </c>
      <c r="AG50" s="226">
        <f>SUM(AG44:AG48)</f>
        <v>70587</v>
      </c>
    </row>
    <row r="54" spans="1:46" x14ac:dyDescent="0.25">
      <c r="A54" s="307" t="s">
        <v>0</v>
      </c>
      <c r="B54" s="307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260"/>
    </row>
    <row r="55" spans="1:46" x14ac:dyDescent="0.25">
      <c r="A55" s="308" t="s">
        <v>100</v>
      </c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260"/>
    </row>
    <row r="56" spans="1:46" ht="63" x14ac:dyDescent="0.25">
      <c r="A56" s="214" t="s">
        <v>2</v>
      </c>
      <c r="B56" s="215" t="s">
        <v>3</v>
      </c>
      <c r="C56" s="216" t="s">
        <v>4</v>
      </c>
      <c r="D56" s="217" t="s">
        <v>5</v>
      </c>
      <c r="E56" s="218"/>
      <c r="F56" s="218"/>
      <c r="G56" s="218"/>
      <c r="H56" s="218"/>
      <c r="I56" s="218"/>
      <c r="J56" s="219" t="s">
        <v>6</v>
      </c>
      <c r="K56" s="219" t="s">
        <v>7</v>
      </c>
      <c r="L56" s="220"/>
      <c r="M56" s="220"/>
      <c r="N56" s="309" t="s">
        <v>8</v>
      </c>
      <c r="O56" s="309"/>
      <c r="P56" s="309"/>
      <c r="Q56" s="217" t="s">
        <v>9</v>
      </c>
      <c r="R56" s="217" t="s">
        <v>10</v>
      </c>
      <c r="S56" s="217"/>
      <c r="T56" s="217" t="s">
        <v>11</v>
      </c>
      <c r="U56" s="217" t="s">
        <v>1172</v>
      </c>
      <c r="V56" s="217" t="s">
        <v>6</v>
      </c>
      <c r="W56" s="221" t="s">
        <v>13</v>
      </c>
      <c r="X56" s="251" t="s">
        <v>1165</v>
      </c>
      <c r="Y56" s="222" t="s">
        <v>15</v>
      </c>
      <c r="Z56" s="217" t="s">
        <v>1140</v>
      </c>
      <c r="AA56" s="309" t="s">
        <v>17</v>
      </c>
      <c r="AB56" s="309"/>
      <c r="AC56" s="217" t="s">
        <v>1181</v>
      </c>
      <c r="AD56" s="217" t="s">
        <v>1179</v>
      </c>
      <c r="AE56" s="216" t="s">
        <v>19</v>
      </c>
      <c r="AF56" s="216" t="s">
        <v>1173</v>
      </c>
      <c r="AG56" s="216" t="s">
        <v>13</v>
      </c>
      <c r="AH56" s="1" t="s">
        <v>1201</v>
      </c>
      <c r="AI56" s="1" t="s">
        <v>1202</v>
      </c>
      <c r="AJ56" s="1" t="s">
        <v>1203</v>
      </c>
      <c r="AK56" s="1" t="s">
        <v>1204</v>
      </c>
      <c r="AL56" s="1" t="s">
        <v>1205</v>
      </c>
      <c r="AM56" s="1" t="s">
        <v>1206</v>
      </c>
      <c r="AN56" s="1" t="s">
        <v>1207</v>
      </c>
      <c r="AO56" s="1" t="s">
        <v>1208</v>
      </c>
      <c r="AP56" s="1" t="s">
        <v>1209</v>
      </c>
      <c r="AQ56" s="1" t="s">
        <v>1210</v>
      </c>
      <c r="AR56" s="1" t="s">
        <v>1211</v>
      </c>
      <c r="AS56" s="1" t="s">
        <v>1212</v>
      </c>
      <c r="AT56" s="1" t="s">
        <v>19</v>
      </c>
    </row>
    <row r="57" spans="1:46" x14ac:dyDescent="0.25">
      <c r="A57" s="13" t="s">
        <v>20</v>
      </c>
      <c r="B57" s="264" t="s">
        <v>1199</v>
      </c>
      <c r="C57" s="91" t="s">
        <v>862</v>
      </c>
      <c r="D57" s="14"/>
      <c r="E57" s="16"/>
      <c r="F57" s="17"/>
      <c r="G57" s="17"/>
      <c r="H57" s="25"/>
      <c r="I57" s="18"/>
      <c r="J57" s="19"/>
      <c r="K57" s="19"/>
      <c r="L57" s="20"/>
      <c r="M57" s="20"/>
      <c r="N57" s="20"/>
      <c r="O57" s="20"/>
      <c r="P57" s="17"/>
      <c r="Q57" s="21"/>
      <c r="R57" s="22"/>
      <c r="S57" s="22"/>
      <c r="T57" s="91" t="s">
        <v>1190</v>
      </c>
      <c r="U57" s="91">
        <v>1.1000000000000001</v>
      </c>
      <c r="V57" s="45">
        <v>23000</v>
      </c>
      <c r="W57" s="23"/>
      <c r="X57" s="158">
        <v>12900</v>
      </c>
      <c r="Y57" s="253"/>
      <c r="Z57" s="30"/>
      <c r="AA57" s="254">
        <v>8</v>
      </c>
      <c r="AB57" s="253">
        <f>X57/30*AA57</f>
        <v>3440</v>
      </c>
      <c r="AC57" s="255"/>
      <c r="AD57" s="255"/>
      <c r="AE57" s="30">
        <f>Y57+AB57+AC57+AD57</f>
        <v>3440</v>
      </c>
      <c r="AF57" s="30">
        <f>AT57*2</f>
        <v>13470</v>
      </c>
      <c r="AG57" s="30">
        <f>AE57+AF57</f>
        <v>16910</v>
      </c>
      <c r="AH57" s="1">
        <v>600</v>
      </c>
      <c r="AI57" s="1">
        <v>600</v>
      </c>
      <c r="AJ57" s="1">
        <v>600</v>
      </c>
      <c r="AK57" s="1">
        <v>600</v>
      </c>
      <c r="AL57" s="1">
        <v>600</v>
      </c>
      <c r="AM57" s="1">
        <v>600</v>
      </c>
      <c r="AN57" s="1">
        <v>600</v>
      </c>
      <c r="AO57" s="1">
        <v>600</v>
      </c>
      <c r="AP57" s="1">
        <v>645</v>
      </c>
      <c r="AQ57" s="1">
        <v>645</v>
      </c>
      <c r="AR57" s="1">
        <v>645</v>
      </c>
      <c r="AS57" s="1">
        <v>0</v>
      </c>
      <c r="AT57" s="1">
        <f>AH57+AI57+AJ57+AK57+AL57+AM57+AN57+AO57+AP57+AQ57+AR57+AS57</f>
        <v>6735</v>
      </c>
    </row>
    <row r="58" spans="1:46" x14ac:dyDescent="0.25">
      <c r="A58" s="13" t="s">
        <v>26</v>
      </c>
      <c r="B58" s="94" t="s">
        <v>179</v>
      </c>
      <c r="C58" s="91" t="s">
        <v>181</v>
      </c>
      <c r="D58" s="15"/>
      <c r="E58" s="16"/>
      <c r="F58" s="17"/>
      <c r="G58" s="17"/>
      <c r="H58" s="25"/>
      <c r="I58" s="18"/>
      <c r="J58" s="41"/>
      <c r="K58" s="19"/>
      <c r="L58" s="20"/>
      <c r="M58" s="20"/>
      <c r="N58" s="20"/>
      <c r="O58" s="20"/>
      <c r="P58" s="17"/>
      <c r="Q58" s="21"/>
      <c r="R58" s="22"/>
      <c r="S58" s="22"/>
      <c r="T58" s="91" t="s">
        <v>183</v>
      </c>
      <c r="U58" s="91">
        <v>2.7</v>
      </c>
      <c r="V58" s="45"/>
      <c r="W58" s="23"/>
      <c r="X58" s="158">
        <v>12766.815000000001</v>
      </c>
      <c r="Y58" s="30"/>
      <c r="Z58" s="30"/>
      <c r="AA58" s="22">
        <f>20/2</f>
        <v>10</v>
      </c>
      <c r="AB58" s="253">
        <f>X58/30*AA58</f>
        <v>4255.6049999999996</v>
      </c>
      <c r="AC58" s="30"/>
      <c r="AD58" s="21"/>
      <c r="AE58" s="30">
        <f>Y58+AB58+AC58+AD58</f>
        <v>4255.6049999999996</v>
      </c>
      <c r="AF58" s="30">
        <f>AT58*2</f>
        <v>14232</v>
      </c>
      <c r="AG58" s="30">
        <f t="shared" ref="AG58" si="2">AE58+AF58</f>
        <v>18487.605</v>
      </c>
      <c r="AH58" s="1">
        <v>567</v>
      </c>
      <c r="AI58" s="1">
        <v>567</v>
      </c>
      <c r="AJ58" s="1">
        <v>567</v>
      </c>
      <c r="AK58" s="1">
        <v>567</v>
      </c>
      <c r="AL58" s="1">
        <v>567</v>
      </c>
      <c r="AM58" s="1">
        <v>567</v>
      </c>
      <c r="AN58" s="1">
        <v>567</v>
      </c>
      <c r="AO58" s="1">
        <v>595</v>
      </c>
      <c r="AP58" s="1">
        <v>638</v>
      </c>
      <c r="AQ58" s="1">
        <v>638</v>
      </c>
      <c r="AR58" s="1">
        <v>638</v>
      </c>
      <c r="AS58" s="1">
        <v>638</v>
      </c>
      <c r="AT58" s="1">
        <f t="shared" ref="AT58:AT59" si="3">AH58+AI58+AJ58+AK58+AL58+AM58+AN58+AO58+AP58+AQ58+AR58+AS58</f>
        <v>7116</v>
      </c>
    </row>
    <row r="59" spans="1:46" x14ac:dyDescent="0.25">
      <c r="A59" s="13" t="s">
        <v>29</v>
      </c>
      <c r="B59" s="265" t="s">
        <v>1200</v>
      </c>
      <c r="C59" s="91" t="s">
        <v>27</v>
      </c>
      <c r="D59" s="15"/>
      <c r="E59" s="16"/>
      <c r="F59" s="17"/>
      <c r="G59" s="17"/>
      <c r="H59" s="25"/>
      <c r="I59" s="18"/>
      <c r="J59" s="41"/>
      <c r="K59" s="19"/>
      <c r="L59" s="20"/>
      <c r="M59" s="20"/>
      <c r="N59" s="20"/>
      <c r="O59" s="20"/>
      <c r="P59" s="17"/>
      <c r="Q59" s="21"/>
      <c r="R59" s="22"/>
      <c r="S59" s="22"/>
      <c r="T59" s="91" t="s">
        <v>1189</v>
      </c>
      <c r="U59" s="91">
        <v>1.2</v>
      </c>
      <c r="V59" s="45"/>
      <c r="W59" s="23"/>
      <c r="X59" s="158">
        <v>6600</v>
      </c>
      <c r="Y59" s="30"/>
      <c r="Z59" s="68"/>
      <c r="AA59" s="22">
        <f>10/2</f>
        <v>5</v>
      </c>
      <c r="AB59" s="253">
        <f>X59/30*AA59</f>
        <v>1100</v>
      </c>
      <c r="AC59" s="30"/>
      <c r="AD59" s="21"/>
      <c r="AE59" s="30">
        <f>Y59+AB59+AC59+AD59</f>
        <v>1100</v>
      </c>
      <c r="AF59" s="30">
        <f>AT59*2</f>
        <v>7440</v>
      </c>
      <c r="AG59" s="30">
        <f t="shared" ref="AG59" si="4">AE59+AF59</f>
        <v>8540</v>
      </c>
      <c r="AH59" s="1">
        <v>300</v>
      </c>
      <c r="AI59" s="1">
        <v>300</v>
      </c>
      <c r="AJ59" s="1">
        <v>300</v>
      </c>
      <c r="AK59" s="1">
        <v>300</v>
      </c>
      <c r="AL59" s="1">
        <v>300</v>
      </c>
      <c r="AM59" s="1">
        <v>300</v>
      </c>
      <c r="AN59" s="1">
        <v>300</v>
      </c>
      <c r="AO59" s="1">
        <v>300</v>
      </c>
      <c r="AP59" s="1">
        <v>330</v>
      </c>
      <c r="AQ59" s="1">
        <v>330</v>
      </c>
      <c r="AR59" s="1">
        <v>330</v>
      </c>
      <c r="AS59" s="1">
        <v>330</v>
      </c>
      <c r="AT59" s="1">
        <f t="shared" si="3"/>
        <v>3720</v>
      </c>
    </row>
    <row r="60" spans="1:46" x14ac:dyDescent="0.25">
      <c r="A60" s="13" t="s">
        <v>31</v>
      </c>
      <c r="B60" s="92"/>
      <c r="C60" s="86"/>
      <c r="D60" s="15"/>
      <c r="E60" s="16"/>
      <c r="F60" s="17"/>
      <c r="G60" s="17"/>
      <c r="H60" s="25"/>
      <c r="I60" s="18"/>
      <c r="J60" s="41"/>
      <c r="K60" s="19"/>
      <c r="L60" s="20"/>
      <c r="M60" s="20"/>
      <c r="N60" s="20"/>
      <c r="O60" s="20"/>
      <c r="P60" s="17"/>
      <c r="Q60" s="21"/>
      <c r="R60" s="22"/>
      <c r="S60" s="22"/>
      <c r="T60" s="91"/>
      <c r="U60" s="259"/>
      <c r="V60" s="45"/>
      <c r="W60" s="23"/>
      <c r="X60" s="121"/>
      <c r="Y60" s="30"/>
      <c r="Z60" s="68"/>
      <c r="AA60" s="247"/>
      <c r="AB60" s="30"/>
      <c r="AC60" s="22"/>
      <c r="AD60" s="22"/>
      <c r="AE60" s="31"/>
      <c r="AF60" s="31"/>
      <c r="AG60" s="22"/>
    </row>
    <row r="61" spans="1:46" x14ac:dyDescent="0.25">
      <c r="A61" s="13" t="s">
        <v>33</v>
      </c>
      <c r="B61" s="252"/>
      <c r="C61" s="86"/>
      <c r="D61" s="14"/>
      <c r="E61" s="16"/>
      <c r="F61" s="17"/>
      <c r="G61" s="17"/>
      <c r="H61" s="25"/>
      <c r="I61" s="18"/>
      <c r="J61" s="41"/>
      <c r="K61" s="19"/>
      <c r="L61" s="20"/>
      <c r="M61" s="20"/>
      <c r="N61" s="20"/>
      <c r="O61" s="20"/>
      <c r="P61" s="17"/>
      <c r="Q61" s="21"/>
      <c r="R61" s="22"/>
      <c r="S61" s="22"/>
      <c r="T61" s="91"/>
      <c r="U61" s="258"/>
      <c r="V61" s="45"/>
      <c r="W61" s="23"/>
      <c r="X61" s="121"/>
      <c r="Y61" s="30"/>
      <c r="Z61" s="22"/>
      <c r="AA61" s="247"/>
      <c r="AB61" s="30"/>
      <c r="AC61" s="30"/>
      <c r="AD61" s="30"/>
      <c r="AE61" s="31"/>
      <c r="AF61" s="31"/>
      <c r="AG61" s="22"/>
    </row>
    <row r="62" spans="1:46" x14ac:dyDescent="0.25">
      <c r="A62" s="13" t="s">
        <v>35</v>
      </c>
      <c r="B62" s="94"/>
      <c r="C62" s="91"/>
      <c r="D62" s="14"/>
      <c r="E62" s="16"/>
      <c r="F62" s="17"/>
      <c r="G62" s="17"/>
      <c r="H62" s="25"/>
      <c r="I62" s="18"/>
      <c r="J62" s="19"/>
      <c r="K62" s="19"/>
      <c r="L62" s="20"/>
      <c r="M62" s="20"/>
      <c r="N62" s="20"/>
      <c r="O62" s="20"/>
      <c r="P62" s="17"/>
      <c r="Q62" s="21"/>
      <c r="R62" s="22"/>
      <c r="S62" s="22"/>
      <c r="T62" s="86"/>
      <c r="U62" s="86"/>
      <c r="V62" s="45"/>
      <c r="W62" s="23"/>
      <c r="X62" s="121"/>
      <c r="Y62" s="30"/>
      <c r="Z62" s="30"/>
      <c r="AA62" s="247"/>
      <c r="AB62" s="30"/>
      <c r="AC62" s="21"/>
      <c r="AD62" s="21"/>
      <c r="AE62" s="31"/>
      <c r="AF62" s="31"/>
      <c r="AG62" s="22"/>
    </row>
    <row r="63" spans="1:46" x14ac:dyDescent="0.25">
      <c r="A63" s="223"/>
      <c r="B63" s="224" t="s">
        <v>48</v>
      </c>
      <c r="C63" s="225"/>
      <c r="D63" s="225"/>
      <c r="E63" s="225"/>
      <c r="F63" s="226"/>
      <c r="G63" s="226"/>
      <c r="H63" s="226"/>
      <c r="I63" s="225"/>
      <c r="J63" s="227">
        <f>SUM(J57:J60)</f>
        <v>0</v>
      </c>
      <c r="K63" s="228"/>
      <c r="L63" s="226"/>
      <c r="M63" s="229"/>
      <c r="N63" s="226"/>
      <c r="O63" s="226"/>
      <c r="P63" s="229"/>
      <c r="Q63" s="225"/>
      <c r="R63" s="225"/>
      <c r="S63" s="225"/>
      <c r="T63" s="225"/>
      <c r="U63" s="225"/>
      <c r="V63" s="216"/>
      <c r="W63" s="224"/>
      <c r="X63" s="226"/>
      <c r="Y63" s="226">
        <f>SUM(Y57:Y61)</f>
        <v>0</v>
      </c>
      <c r="Z63" s="226"/>
      <c r="AA63" s="225"/>
      <c r="AB63" s="226">
        <f>SUM(AB57:AB61)</f>
        <v>8795.6049999999996</v>
      </c>
      <c r="AC63" s="226"/>
      <c r="AD63" s="226"/>
      <c r="AE63" s="226">
        <f>SUM(AE57:AE61)</f>
        <v>8795.6049999999996</v>
      </c>
      <c r="AF63" s="226">
        <f>SUM(AF57:AF61)</f>
        <v>35142</v>
      </c>
      <c r="AG63" s="226">
        <f>SUM(AG57:AG61)</f>
        <v>43937.604999999996</v>
      </c>
    </row>
    <row r="66" spans="1:33" x14ac:dyDescent="0.25">
      <c r="A66" s="307" t="s">
        <v>0</v>
      </c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260"/>
    </row>
    <row r="67" spans="1:33" x14ac:dyDescent="0.25">
      <c r="A67" s="308" t="s">
        <v>100</v>
      </c>
      <c r="B67" s="308"/>
      <c r="C67" s="308"/>
      <c r="D67" s="308"/>
      <c r="E67" s="308"/>
      <c r="F67" s="308"/>
      <c r="G67" s="308"/>
      <c r="H67" s="308"/>
      <c r="I67" s="308"/>
      <c r="J67" s="308"/>
      <c r="K67" s="308"/>
      <c r="L67" s="308"/>
      <c r="M67" s="308"/>
      <c r="N67" s="308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260"/>
    </row>
    <row r="68" spans="1:33" ht="63" x14ac:dyDescent="0.25">
      <c r="A68" s="214" t="s">
        <v>2</v>
      </c>
      <c r="B68" s="215" t="s">
        <v>3</v>
      </c>
      <c r="C68" s="216" t="s">
        <v>4</v>
      </c>
      <c r="D68" s="217" t="s">
        <v>5</v>
      </c>
      <c r="E68" s="218"/>
      <c r="F68" s="218"/>
      <c r="G68" s="218"/>
      <c r="H68" s="218"/>
      <c r="I68" s="218"/>
      <c r="J68" s="219" t="s">
        <v>6</v>
      </c>
      <c r="K68" s="219" t="s">
        <v>7</v>
      </c>
      <c r="L68" s="220"/>
      <c r="M68" s="220"/>
      <c r="N68" s="309" t="s">
        <v>8</v>
      </c>
      <c r="O68" s="309"/>
      <c r="P68" s="309"/>
      <c r="Q68" s="217" t="s">
        <v>9</v>
      </c>
      <c r="R68" s="217" t="s">
        <v>10</v>
      </c>
      <c r="S68" s="217"/>
      <c r="T68" s="217" t="s">
        <v>11</v>
      </c>
      <c r="U68" s="217" t="s">
        <v>1215</v>
      </c>
      <c r="V68" s="217" t="s">
        <v>6</v>
      </c>
      <c r="W68" s="221" t="s">
        <v>13</v>
      </c>
      <c r="X68" s="251" t="s">
        <v>1165</v>
      </c>
      <c r="Y68" s="222" t="s">
        <v>15</v>
      </c>
      <c r="Z68" s="217" t="s">
        <v>1140</v>
      </c>
      <c r="AA68" s="309" t="s">
        <v>17</v>
      </c>
      <c r="AB68" s="309"/>
      <c r="AC68" s="217" t="s">
        <v>1181</v>
      </c>
      <c r="AD68" s="217" t="s">
        <v>1179</v>
      </c>
      <c r="AE68" s="216" t="s">
        <v>19</v>
      </c>
      <c r="AF68" s="216" t="s">
        <v>1173</v>
      </c>
      <c r="AG68" s="216" t="s">
        <v>13</v>
      </c>
    </row>
    <row r="69" spans="1:33" x14ac:dyDescent="0.25">
      <c r="A69" s="13" t="s">
        <v>20</v>
      </c>
      <c r="B69" s="264" t="s">
        <v>1213</v>
      </c>
      <c r="C69" s="91" t="s">
        <v>57</v>
      </c>
      <c r="D69" s="14"/>
      <c r="E69" s="16"/>
      <c r="F69" s="17"/>
      <c r="G69" s="17"/>
      <c r="H69" s="25"/>
      <c r="I69" s="18"/>
      <c r="J69" s="19"/>
      <c r="K69" s="19"/>
      <c r="L69" s="20"/>
      <c r="M69" s="20"/>
      <c r="N69" s="20"/>
      <c r="O69" s="20"/>
      <c r="P69" s="17"/>
      <c r="Q69" s="21"/>
      <c r="R69" s="22"/>
      <c r="S69" s="22"/>
      <c r="T69" s="91" t="s">
        <v>1214</v>
      </c>
      <c r="U69" s="91">
        <v>9</v>
      </c>
      <c r="V69" s="45">
        <v>23000</v>
      </c>
      <c r="W69" s="23"/>
      <c r="X69" s="158">
        <v>6600</v>
      </c>
      <c r="Y69" s="253"/>
      <c r="Z69" s="30"/>
      <c r="AA69" s="254">
        <v>5</v>
      </c>
      <c r="AB69" s="253">
        <f>X69/30*AA69</f>
        <v>1100</v>
      </c>
      <c r="AC69" s="255"/>
      <c r="AD69" s="255"/>
      <c r="AE69" s="30">
        <f>Y69+AB69+AC69+AD69</f>
        <v>1100</v>
      </c>
      <c r="AF69" s="30">
        <f>330*5*2</f>
        <v>3300</v>
      </c>
      <c r="AG69" s="30">
        <f>AE69+AF69</f>
        <v>4400</v>
      </c>
    </row>
    <row r="70" spans="1:33" x14ac:dyDescent="0.25">
      <c r="A70" s="13" t="s">
        <v>26</v>
      </c>
      <c r="B70" s="94"/>
      <c r="C70" s="91"/>
      <c r="D70" s="15"/>
      <c r="E70" s="16"/>
      <c r="F70" s="17"/>
      <c r="G70" s="17"/>
      <c r="H70" s="25"/>
      <c r="I70" s="18"/>
      <c r="J70" s="41"/>
      <c r="K70" s="19"/>
      <c r="L70" s="20"/>
      <c r="M70" s="20"/>
      <c r="N70" s="20"/>
      <c r="O70" s="20"/>
      <c r="P70" s="17"/>
      <c r="Q70" s="21"/>
      <c r="R70" s="22"/>
      <c r="S70" s="22"/>
      <c r="T70" s="91"/>
      <c r="U70" s="91"/>
      <c r="V70" s="45"/>
      <c r="W70" s="23"/>
      <c r="X70" s="158"/>
      <c r="Y70" s="30"/>
      <c r="Z70" s="30"/>
      <c r="AA70" s="22"/>
      <c r="AB70" s="253"/>
      <c r="AC70" s="30"/>
      <c r="AD70" s="21"/>
      <c r="AE70" s="30"/>
      <c r="AF70" s="30"/>
      <c r="AG70" s="30"/>
    </row>
    <row r="71" spans="1:33" x14ac:dyDescent="0.25">
      <c r="A71" s="13" t="s">
        <v>29</v>
      </c>
      <c r="B71" s="265"/>
      <c r="C71" s="91"/>
      <c r="D71" s="15"/>
      <c r="E71" s="16"/>
      <c r="F71" s="17"/>
      <c r="G71" s="17"/>
      <c r="H71" s="25"/>
      <c r="I71" s="18"/>
      <c r="J71" s="41"/>
      <c r="K71" s="19"/>
      <c r="L71" s="20"/>
      <c r="M71" s="20"/>
      <c r="N71" s="20"/>
      <c r="O71" s="20"/>
      <c r="P71" s="17"/>
      <c r="Q71" s="21"/>
      <c r="R71" s="22"/>
      <c r="S71" s="22"/>
      <c r="T71" s="91"/>
      <c r="U71" s="91"/>
      <c r="V71" s="45"/>
      <c r="W71" s="23"/>
      <c r="X71" s="158"/>
      <c r="Y71" s="30"/>
      <c r="Z71" s="68"/>
      <c r="AA71" s="22"/>
      <c r="AB71" s="253"/>
      <c r="AC71" s="30"/>
      <c r="AD71" s="21"/>
      <c r="AE71" s="30"/>
      <c r="AF71" s="30"/>
      <c r="AG71" s="30"/>
    </row>
    <row r="72" spans="1:33" x14ac:dyDescent="0.25">
      <c r="A72" s="13" t="s">
        <v>31</v>
      </c>
      <c r="B72" s="92"/>
      <c r="C72" s="86"/>
      <c r="D72" s="15"/>
      <c r="E72" s="16"/>
      <c r="F72" s="17"/>
      <c r="G72" s="17"/>
      <c r="H72" s="25"/>
      <c r="I72" s="18"/>
      <c r="J72" s="41"/>
      <c r="K72" s="19"/>
      <c r="L72" s="20"/>
      <c r="M72" s="20"/>
      <c r="N72" s="20"/>
      <c r="O72" s="20"/>
      <c r="P72" s="17"/>
      <c r="Q72" s="21"/>
      <c r="R72" s="22"/>
      <c r="S72" s="22"/>
      <c r="T72" s="91"/>
      <c r="U72" s="259"/>
      <c r="V72" s="45"/>
      <c r="W72" s="23"/>
      <c r="X72" s="121"/>
      <c r="Y72" s="30"/>
      <c r="Z72" s="68"/>
      <c r="AA72" s="247"/>
      <c r="AB72" s="30"/>
      <c r="AC72" s="22"/>
      <c r="AD72" s="22"/>
      <c r="AE72" s="31"/>
      <c r="AF72" s="31"/>
      <c r="AG72" s="22"/>
    </row>
    <row r="73" spans="1:33" x14ac:dyDescent="0.25">
      <c r="A73" s="13" t="s">
        <v>33</v>
      </c>
      <c r="B73" s="252"/>
      <c r="C73" s="86"/>
      <c r="D73" s="14"/>
      <c r="E73" s="16"/>
      <c r="F73" s="17"/>
      <c r="G73" s="17"/>
      <c r="H73" s="25"/>
      <c r="I73" s="18"/>
      <c r="J73" s="41"/>
      <c r="K73" s="19"/>
      <c r="L73" s="20"/>
      <c r="M73" s="20"/>
      <c r="N73" s="20"/>
      <c r="O73" s="20"/>
      <c r="P73" s="17"/>
      <c r="Q73" s="21"/>
      <c r="R73" s="22"/>
      <c r="S73" s="22"/>
      <c r="T73" s="91"/>
      <c r="U73" s="258"/>
      <c r="V73" s="45"/>
      <c r="W73" s="23"/>
      <c r="X73" s="121"/>
      <c r="Y73" s="30"/>
      <c r="Z73" s="22"/>
      <c r="AA73" s="247"/>
      <c r="AB73" s="30"/>
      <c r="AC73" s="30"/>
      <c r="AD73" s="30"/>
      <c r="AE73" s="31"/>
      <c r="AF73" s="31"/>
      <c r="AG73" s="22"/>
    </row>
    <row r="74" spans="1:33" x14ac:dyDescent="0.25">
      <c r="A74" s="13" t="s">
        <v>35</v>
      </c>
      <c r="B74" s="94"/>
      <c r="C74" s="91"/>
      <c r="D74" s="14"/>
      <c r="E74" s="16"/>
      <c r="F74" s="17"/>
      <c r="G74" s="17"/>
      <c r="H74" s="25"/>
      <c r="I74" s="18"/>
      <c r="J74" s="19"/>
      <c r="K74" s="19"/>
      <c r="L74" s="20"/>
      <c r="M74" s="20"/>
      <c r="N74" s="20"/>
      <c r="O74" s="20"/>
      <c r="P74" s="17"/>
      <c r="Q74" s="21"/>
      <c r="R74" s="22"/>
      <c r="S74" s="22"/>
      <c r="T74" s="86"/>
      <c r="U74" s="86"/>
      <c r="V74" s="45"/>
      <c r="W74" s="23"/>
      <c r="X74" s="121"/>
      <c r="Y74" s="30"/>
      <c r="Z74" s="30"/>
      <c r="AA74" s="247"/>
      <c r="AB74" s="30"/>
      <c r="AC74" s="21"/>
      <c r="AD74" s="21"/>
      <c r="AE74" s="31"/>
      <c r="AF74" s="31"/>
      <c r="AG74" s="22"/>
    </row>
    <row r="75" spans="1:33" x14ac:dyDescent="0.25">
      <c r="A75" s="223"/>
      <c r="B75" s="224" t="s">
        <v>48</v>
      </c>
      <c r="C75" s="225"/>
      <c r="D75" s="225"/>
      <c r="E75" s="225"/>
      <c r="F75" s="226"/>
      <c r="G75" s="226"/>
      <c r="H75" s="226"/>
      <c r="I75" s="225"/>
      <c r="J75" s="227">
        <f>SUM(J69:J72)</f>
        <v>0</v>
      </c>
      <c r="K75" s="228"/>
      <c r="L75" s="226"/>
      <c r="M75" s="229"/>
      <c r="N75" s="226"/>
      <c r="O75" s="226"/>
      <c r="P75" s="229"/>
      <c r="Q75" s="225"/>
      <c r="R75" s="225"/>
      <c r="S75" s="225"/>
      <c r="T75" s="225"/>
      <c r="U75" s="225"/>
      <c r="V75" s="216"/>
      <c r="W75" s="224"/>
      <c r="X75" s="226"/>
      <c r="Y75" s="226">
        <f>SUM(Y69:Y73)</f>
        <v>0</v>
      </c>
      <c r="Z75" s="226"/>
      <c r="AA75" s="225"/>
      <c r="AB75" s="226">
        <f>SUM(AB69:AB73)</f>
        <v>1100</v>
      </c>
      <c r="AC75" s="226"/>
      <c r="AD75" s="226"/>
      <c r="AE75" s="226">
        <f>SUM(AE69:AE73)</f>
        <v>1100</v>
      </c>
      <c r="AF75" s="226">
        <f>SUM(AF69:AF73)</f>
        <v>3300</v>
      </c>
      <c r="AG75" s="226">
        <f>SUM(AG69:AG73)</f>
        <v>4400</v>
      </c>
    </row>
    <row r="78" spans="1:33" x14ac:dyDescent="0.25">
      <c r="A78" s="307" t="s">
        <v>0</v>
      </c>
      <c r="B78" s="307"/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260"/>
    </row>
    <row r="79" spans="1:33" x14ac:dyDescent="0.25">
      <c r="A79" s="308" t="s">
        <v>100</v>
      </c>
      <c r="B79" s="308"/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260"/>
    </row>
    <row r="80" spans="1:33" ht="63" x14ac:dyDescent="0.25">
      <c r="A80" s="214" t="s">
        <v>2</v>
      </c>
      <c r="B80" s="215" t="s">
        <v>3</v>
      </c>
      <c r="C80" s="216" t="s">
        <v>4</v>
      </c>
      <c r="D80" s="217" t="s">
        <v>5</v>
      </c>
      <c r="E80" s="218"/>
      <c r="F80" s="218"/>
      <c r="G80" s="218"/>
      <c r="H80" s="218"/>
      <c r="I80" s="218"/>
      <c r="J80" s="219" t="s">
        <v>6</v>
      </c>
      <c r="K80" s="219" t="s">
        <v>7</v>
      </c>
      <c r="L80" s="220"/>
      <c r="M80" s="220"/>
      <c r="N80" s="309" t="s">
        <v>8</v>
      </c>
      <c r="O80" s="309"/>
      <c r="P80" s="309"/>
      <c r="Q80" s="217" t="s">
        <v>9</v>
      </c>
      <c r="R80" s="217" t="s">
        <v>10</v>
      </c>
      <c r="S80" s="217"/>
      <c r="T80" s="217" t="s">
        <v>11</v>
      </c>
      <c r="U80" s="217" t="s">
        <v>1220</v>
      </c>
      <c r="V80" s="217" t="s">
        <v>6</v>
      </c>
      <c r="W80" s="221" t="s">
        <v>13</v>
      </c>
      <c r="X80" s="251" t="s">
        <v>1165</v>
      </c>
      <c r="Y80" s="222" t="s">
        <v>15</v>
      </c>
      <c r="Z80" s="217" t="s">
        <v>1140</v>
      </c>
      <c r="AA80" s="309" t="s">
        <v>17</v>
      </c>
      <c r="AB80" s="309"/>
      <c r="AC80" s="217" t="s">
        <v>1181</v>
      </c>
      <c r="AD80" s="217" t="s">
        <v>1179</v>
      </c>
      <c r="AE80" s="216" t="s">
        <v>19</v>
      </c>
      <c r="AF80" s="216" t="s">
        <v>1173</v>
      </c>
      <c r="AG80" s="216" t="s">
        <v>13</v>
      </c>
    </row>
    <row r="81" spans="1:35" x14ac:dyDescent="0.25">
      <c r="A81" s="13" t="s">
        <v>20</v>
      </c>
      <c r="B81" s="264" t="s">
        <v>1216</v>
      </c>
      <c r="C81" s="91" t="s">
        <v>1198</v>
      </c>
      <c r="D81" s="14"/>
      <c r="E81" s="16"/>
      <c r="F81" s="17"/>
      <c r="G81" s="17"/>
      <c r="H81" s="25"/>
      <c r="I81" s="18"/>
      <c r="J81" s="19"/>
      <c r="K81" s="19"/>
      <c r="L81" s="20"/>
      <c r="M81" s="20"/>
      <c r="N81" s="20"/>
      <c r="O81" s="20"/>
      <c r="P81" s="17"/>
      <c r="Q81" s="21"/>
      <c r="R81" s="22"/>
      <c r="S81" s="22"/>
      <c r="T81" s="91" t="s">
        <v>1217</v>
      </c>
      <c r="U81" s="259">
        <v>0.1</v>
      </c>
      <c r="V81" s="45">
        <v>23000</v>
      </c>
      <c r="W81" s="23"/>
      <c r="X81" s="158">
        <v>11610.219299999999</v>
      </c>
      <c r="Y81" s="253"/>
      <c r="Z81" s="30"/>
      <c r="AA81" s="254">
        <v>0</v>
      </c>
      <c r="AB81" s="253">
        <f>X81/30*AA81</f>
        <v>0</v>
      </c>
      <c r="AC81" s="255"/>
      <c r="AD81" s="255"/>
      <c r="AE81" s="30">
        <f>Y81+AB81+AC81+AD81</f>
        <v>0</v>
      </c>
      <c r="AF81" s="30">
        <f>(581*8)*2</f>
        <v>9296</v>
      </c>
      <c r="AG81" s="30"/>
    </row>
    <row r="82" spans="1:35" x14ac:dyDescent="0.25">
      <c r="A82" s="13" t="s">
        <v>26</v>
      </c>
      <c r="B82" s="94" t="s">
        <v>856</v>
      </c>
      <c r="C82" s="91" t="s">
        <v>1218</v>
      </c>
      <c r="D82" s="15"/>
      <c r="E82" s="16"/>
      <c r="F82" s="17"/>
      <c r="G82" s="17"/>
      <c r="H82" s="25"/>
      <c r="I82" s="18"/>
      <c r="J82" s="41"/>
      <c r="K82" s="19"/>
      <c r="L82" s="20"/>
      <c r="M82" s="20"/>
      <c r="N82" s="20"/>
      <c r="O82" s="20"/>
      <c r="P82" s="17"/>
      <c r="Q82" s="21"/>
      <c r="R82" s="22"/>
      <c r="S82" s="22"/>
      <c r="T82" s="91" t="s">
        <v>1219</v>
      </c>
      <c r="U82" s="91">
        <v>0.8</v>
      </c>
      <c r="V82" s="45"/>
      <c r="W82" s="23"/>
      <c r="X82" s="158">
        <v>6000</v>
      </c>
      <c r="Y82" s="30"/>
      <c r="Z82" s="30"/>
      <c r="AA82" s="22">
        <v>3</v>
      </c>
      <c r="AB82" s="253">
        <f>X82/30*AA82</f>
        <v>600</v>
      </c>
      <c r="AC82" s="30"/>
      <c r="AD82" s="21"/>
      <c r="AE82" s="30">
        <f>Y82+AB82+AC82+AD82</f>
        <v>600</v>
      </c>
      <c r="AF82" s="30">
        <f>(300*5)*2</f>
        <v>3000</v>
      </c>
      <c r="AG82" s="30"/>
    </row>
    <row r="83" spans="1:35" x14ac:dyDescent="0.25">
      <c r="A83" s="13" t="s">
        <v>29</v>
      </c>
      <c r="B83" s="94" t="s">
        <v>616</v>
      </c>
      <c r="C83" s="91" t="s">
        <v>602</v>
      </c>
      <c r="D83" s="15"/>
      <c r="E83" s="16"/>
      <c r="F83" s="17"/>
      <c r="G83" s="17"/>
      <c r="H83" s="25"/>
      <c r="I83" s="18"/>
      <c r="J83" s="41"/>
      <c r="K83" s="19"/>
      <c r="L83" s="20"/>
      <c r="M83" s="20"/>
      <c r="N83" s="20"/>
      <c r="O83" s="20"/>
      <c r="P83" s="17"/>
      <c r="Q83" s="21"/>
      <c r="R83" s="22"/>
      <c r="S83" s="22"/>
      <c r="T83" s="91" t="s">
        <v>584</v>
      </c>
      <c r="U83" s="259">
        <v>5.0999999999999996</v>
      </c>
      <c r="V83" s="45"/>
      <c r="W83" s="23"/>
      <c r="X83" s="158">
        <v>8950.7100337499996</v>
      </c>
      <c r="Y83" s="30">
        <f>X83*3</f>
        <v>26852.130101249997</v>
      </c>
      <c r="Z83" s="68"/>
      <c r="AA83" s="22">
        <v>41</v>
      </c>
      <c r="AB83" s="253">
        <f>X83/30*AA83</f>
        <v>12232.637046125001</v>
      </c>
      <c r="AC83" s="30"/>
      <c r="AD83" s="21"/>
      <c r="AE83" s="30">
        <f>Y83+AB83+AC83+AD83</f>
        <v>39084.767147374994</v>
      </c>
      <c r="AF83" s="30">
        <v>13842</v>
      </c>
      <c r="AG83" s="30"/>
      <c r="AH83" s="81">
        <f>AE83+AF83</f>
        <v>52926.767147374994</v>
      </c>
    </row>
    <row r="84" spans="1:35" x14ac:dyDescent="0.25">
      <c r="A84" s="13" t="s">
        <v>31</v>
      </c>
      <c r="B84" s="92"/>
      <c r="C84" s="86"/>
      <c r="D84" s="15"/>
      <c r="E84" s="16"/>
      <c r="F84" s="17"/>
      <c r="G84" s="17"/>
      <c r="H84" s="25"/>
      <c r="I84" s="18"/>
      <c r="J84" s="41"/>
      <c r="K84" s="19"/>
      <c r="L84" s="20"/>
      <c r="M84" s="20"/>
      <c r="N84" s="20"/>
      <c r="O84" s="20"/>
      <c r="P84" s="17"/>
      <c r="Q84" s="21"/>
      <c r="R84" s="22"/>
      <c r="S84" s="22"/>
      <c r="T84" s="91"/>
      <c r="U84" s="259"/>
      <c r="V84" s="45"/>
      <c r="W84" s="23"/>
      <c r="X84" s="121"/>
      <c r="Y84" s="30"/>
      <c r="Z84" s="68"/>
      <c r="AA84" s="247"/>
      <c r="AB84" s="253">
        <f>X84/30*AA84</f>
        <v>0</v>
      </c>
      <c r="AC84" s="22"/>
      <c r="AD84" s="22"/>
      <c r="AE84" s="30">
        <f>Y84+AB84+AC84+AD84</f>
        <v>0</v>
      </c>
      <c r="AF84" s="31"/>
      <c r="AG84" s="22"/>
    </row>
    <row r="85" spans="1:35" x14ac:dyDescent="0.25">
      <c r="A85" s="13" t="s">
        <v>33</v>
      </c>
      <c r="B85" s="252"/>
      <c r="C85" s="86"/>
      <c r="D85" s="14"/>
      <c r="E85" s="16"/>
      <c r="F85" s="17"/>
      <c r="G85" s="17"/>
      <c r="H85" s="25"/>
      <c r="I85" s="18"/>
      <c r="J85" s="41"/>
      <c r="K85" s="19"/>
      <c r="L85" s="20"/>
      <c r="M85" s="20"/>
      <c r="N85" s="20"/>
      <c r="O85" s="20"/>
      <c r="P85" s="17"/>
      <c r="Q85" s="21"/>
      <c r="R85" s="22"/>
      <c r="S85" s="22"/>
      <c r="T85" s="91"/>
      <c r="U85" s="258"/>
      <c r="V85" s="45"/>
      <c r="W85" s="23"/>
      <c r="X85" s="121"/>
      <c r="Y85" s="30"/>
      <c r="Z85" s="22"/>
      <c r="AA85" s="247"/>
      <c r="AB85" s="30"/>
      <c r="AC85" s="30"/>
      <c r="AD85" s="30"/>
      <c r="AE85" s="31"/>
      <c r="AF85" s="31"/>
      <c r="AG85" s="22"/>
    </row>
    <row r="86" spans="1:35" x14ac:dyDescent="0.25">
      <c r="A86" s="13" t="s">
        <v>35</v>
      </c>
      <c r="B86" s="94"/>
      <c r="C86" s="91"/>
      <c r="D86" s="14"/>
      <c r="E86" s="16"/>
      <c r="F86" s="17"/>
      <c r="G86" s="17"/>
      <c r="H86" s="25"/>
      <c r="I86" s="18"/>
      <c r="J86" s="19"/>
      <c r="K86" s="19"/>
      <c r="L86" s="20"/>
      <c r="M86" s="20"/>
      <c r="N86" s="20"/>
      <c r="O86" s="20"/>
      <c r="P86" s="17"/>
      <c r="Q86" s="21"/>
      <c r="R86" s="22"/>
      <c r="S86" s="22"/>
      <c r="T86" s="86"/>
      <c r="U86" s="86"/>
      <c r="V86" s="45"/>
      <c r="W86" s="23"/>
      <c r="X86" s="121"/>
      <c r="Y86" s="30"/>
      <c r="Z86" s="30"/>
      <c r="AA86" s="247"/>
      <c r="AB86" s="30"/>
      <c r="AC86" s="21"/>
      <c r="AD86" s="21"/>
      <c r="AE86" s="31"/>
      <c r="AF86" s="31"/>
      <c r="AG86" s="22"/>
    </row>
    <row r="87" spans="1:35" x14ac:dyDescent="0.25">
      <c r="A87" s="223"/>
      <c r="B87" s="224" t="s">
        <v>48</v>
      </c>
      <c r="C87" s="225"/>
      <c r="D87" s="225"/>
      <c r="E87" s="225"/>
      <c r="F87" s="226"/>
      <c r="G87" s="226"/>
      <c r="H87" s="226"/>
      <c r="I87" s="225"/>
      <c r="J87" s="227">
        <f>SUM(J81:J84)</f>
        <v>0</v>
      </c>
      <c r="K87" s="228"/>
      <c r="L87" s="226"/>
      <c r="M87" s="229"/>
      <c r="N87" s="226"/>
      <c r="O87" s="226"/>
      <c r="P87" s="229"/>
      <c r="Q87" s="225"/>
      <c r="R87" s="225"/>
      <c r="S87" s="225"/>
      <c r="T87" s="225"/>
      <c r="U87" s="225"/>
      <c r="V87" s="216"/>
      <c r="W87" s="224"/>
      <c r="X87" s="226"/>
      <c r="Y87" s="226">
        <f>SUM(Y81:Y85)</f>
        <v>26852.130101249997</v>
      </c>
      <c r="Z87" s="226"/>
      <c r="AA87" s="225"/>
      <c r="AB87" s="226">
        <f>SUM(AB81:AB85)</f>
        <v>12832.637046125001</v>
      </c>
      <c r="AC87" s="226"/>
      <c r="AD87" s="226"/>
      <c r="AE87" s="226">
        <f>SUM(AE81:AE85)</f>
        <v>39684.767147374994</v>
      </c>
      <c r="AF87" s="226">
        <f>SUM(AF81:AF85)</f>
        <v>26138</v>
      </c>
      <c r="AG87" s="226">
        <f>SUM(AG81:AG85)</f>
        <v>0</v>
      </c>
    </row>
    <row r="89" spans="1:35" x14ac:dyDescent="0.25">
      <c r="AI89" s="81"/>
    </row>
    <row r="90" spans="1:35" x14ac:dyDescent="0.25">
      <c r="AI90" s="81"/>
    </row>
    <row r="91" spans="1:35" x14ac:dyDescent="0.25">
      <c r="A91" s="307" t="s">
        <v>0</v>
      </c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260"/>
    </row>
    <row r="92" spans="1:35" x14ac:dyDescent="0.25">
      <c r="A92" s="308" t="s">
        <v>100</v>
      </c>
      <c r="B92" s="308"/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260"/>
    </row>
    <row r="93" spans="1:35" ht="63" x14ac:dyDescent="0.25">
      <c r="A93" s="214" t="s">
        <v>2</v>
      </c>
      <c r="B93" s="215" t="s">
        <v>3</v>
      </c>
      <c r="C93" s="216" t="s">
        <v>4</v>
      </c>
      <c r="D93" s="217" t="s">
        <v>5</v>
      </c>
      <c r="E93" s="218"/>
      <c r="F93" s="218"/>
      <c r="G93" s="218"/>
      <c r="H93" s="218"/>
      <c r="I93" s="218"/>
      <c r="J93" s="219" t="s">
        <v>6</v>
      </c>
      <c r="K93" s="219" t="s">
        <v>7</v>
      </c>
      <c r="L93" s="220"/>
      <c r="M93" s="220"/>
      <c r="N93" s="309" t="s">
        <v>8</v>
      </c>
      <c r="O93" s="309"/>
      <c r="P93" s="309"/>
      <c r="Q93" s="217" t="s">
        <v>9</v>
      </c>
      <c r="R93" s="217" t="s">
        <v>10</v>
      </c>
      <c r="S93" s="217"/>
      <c r="T93" s="217" t="s">
        <v>11</v>
      </c>
      <c r="U93" s="217" t="s">
        <v>1220</v>
      </c>
      <c r="V93" s="217" t="s">
        <v>6</v>
      </c>
      <c r="W93" s="221" t="s">
        <v>13</v>
      </c>
      <c r="X93" s="251" t="s">
        <v>1165</v>
      </c>
      <c r="Y93" s="222" t="s">
        <v>15</v>
      </c>
      <c r="Z93" s="217" t="s">
        <v>1140</v>
      </c>
      <c r="AA93" s="309" t="s">
        <v>17</v>
      </c>
      <c r="AB93" s="309"/>
      <c r="AC93" s="217" t="s">
        <v>1181</v>
      </c>
      <c r="AD93" s="217" t="s">
        <v>1179</v>
      </c>
      <c r="AE93" s="216" t="s">
        <v>19</v>
      </c>
      <c r="AF93" s="216" t="s">
        <v>1173</v>
      </c>
      <c r="AG93" s="216" t="s">
        <v>13</v>
      </c>
    </row>
    <row r="94" spans="1:35" x14ac:dyDescent="0.25">
      <c r="A94" s="13" t="s">
        <v>20</v>
      </c>
      <c r="B94" s="264" t="s">
        <v>1221</v>
      </c>
      <c r="C94" s="91" t="s">
        <v>1222</v>
      </c>
      <c r="D94" s="14"/>
      <c r="E94" s="16"/>
      <c r="F94" s="17"/>
      <c r="G94" s="17"/>
      <c r="H94" s="25"/>
      <c r="I94" s="18"/>
      <c r="J94" s="19"/>
      <c r="K94" s="19"/>
      <c r="L94" s="20"/>
      <c r="M94" s="20"/>
      <c r="N94" s="20"/>
      <c r="O94" s="20"/>
      <c r="P94" s="17"/>
      <c r="Q94" s="21"/>
      <c r="R94" s="22"/>
      <c r="S94" s="22"/>
      <c r="T94" s="91" t="s">
        <v>792</v>
      </c>
      <c r="U94" s="259">
        <v>5</v>
      </c>
      <c r="V94" s="45">
        <v>23000</v>
      </c>
      <c r="W94" s="23"/>
      <c r="X94" s="266">
        <v>10327.11975</v>
      </c>
      <c r="Y94" s="255">
        <f>X94*3</f>
        <v>30981.359250000001</v>
      </c>
      <c r="Z94" s="30"/>
      <c r="AA94" s="254">
        <f>(13*5)/2</f>
        <v>32.5</v>
      </c>
      <c r="AB94" s="255">
        <f>X94/30*AA94</f>
        <v>11187.713062499999</v>
      </c>
      <c r="AC94" s="255"/>
      <c r="AD94" s="255"/>
      <c r="AE94" s="30">
        <f>Y94+AB94+AC94+AD94</f>
        <v>42169.0723125</v>
      </c>
      <c r="AF94" s="30">
        <v>17936</v>
      </c>
      <c r="AG94" s="30"/>
    </row>
    <row r="95" spans="1:35" x14ac:dyDescent="0.25">
      <c r="A95" s="13" t="s">
        <v>26</v>
      </c>
      <c r="B95" s="94" t="s">
        <v>1223</v>
      </c>
      <c r="C95" s="91" t="s">
        <v>1224</v>
      </c>
      <c r="D95" s="15"/>
      <c r="E95" s="16"/>
      <c r="F95" s="17"/>
      <c r="G95" s="17"/>
      <c r="H95" s="25"/>
      <c r="I95" s="18"/>
      <c r="J95" s="41"/>
      <c r="K95" s="19"/>
      <c r="L95" s="20"/>
      <c r="M95" s="20"/>
      <c r="N95" s="20"/>
      <c r="O95" s="20"/>
      <c r="P95" s="17"/>
      <c r="Q95" s="21"/>
      <c r="R95" s="22"/>
      <c r="S95" s="22"/>
      <c r="T95" s="91" t="s">
        <v>1225</v>
      </c>
      <c r="U95" s="91">
        <v>2.1</v>
      </c>
      <c r="V95" s="45"/>
      <c r="W95" s="23"/>
      <c r="X95" s="266">
        <v>19859.490000000002</v>
      </c>
      <c r="Y95" s="30">
        <v>0</v>
      </c>
      <c r="Z95" s="30"/>
      <c r="AA95" s="22">
        <v>15</v>
      </c>
      <c r="AB95" s="255">
        <f>X95/30*AA95</f>
        <v>9929.7450000000008</v>
      </c>
      <c r="AC95" s="30"/>
      <c r="AD95" s="21"/>
      <c r="AE95" s="30">
        <f>Y95+AB95+AC95+AD95</f>
        <v>9929.7450000000008</v>
      </c>
      <c r="AF95">
        <v>34060</v>
      </c>
      <c r="AG95" s="30"/>
      <c r="AI95" s="1">
        <v>28</v>
      </c>
    </row>
    <row r="96" spans="1:35" x14ac:dyDescent="0.25">
      <c r="A96" s="13" t="s">
        <v>29</v>
      </c>
      <c r="B96" s="94"/>
      <c r="C96" s="91"/>
      <c r="D96" s="15"/>
      <c r="E96" s="16"/>
      <c r="F96" s="17"/>
      <c r="G96" s="17"/>
      <c r="H96" s="25"/>
      <c r="I96" s="18"/>
      <c r="J96" s="41"/>
      <c r="K96" s="19"/>
      <c r="L96" s="20"/>
      <c r="M96" s="20"/>
      <c r="N96" s="20"/>
      <c r="O96" s="20"/>
      <c r="P96" s="17"/>
      <c r="Q96" s="21"/>
      <c r="R96" s="22"/>
      <c r="S96" s="22"/>
      <c r="T96" s="91"/>
      <c r="U96" s="259"/>
      <c r="V96" s="45"/>
      <c r="W96" s="23"/>
      <c r="X96" s="158"/>
      <c r="Y96" s="30"/>
      <c r="Z96" s="68"/>
      <c r="AA96" s="22"/>
      <c r="AB96" s="253"/>
      <c r="AC96" s="30"/>
      <c r="AD96" s="21"/>
      <c r="AE96" s="30"/>
      <c r="AF96" s="30"/>
      <c r="AG96" s="30"/>
      <c r="AI96" s="1">
        <f>14/12</f>
        <v>1.1666666666666667</v>
      </c>
    </row>
    <row r="97" spans="1:35" x14ac:dyDescent="0.25">
      <c r="A97" s="13" t="s">
        <v>31</v>
      </c>
      <c r="B97" s="92"/>
      <c r="C97" s="86"/>
      <c r="D97" s="15"/>
      <c r="E97" s="16"/>
      <c r="F97" s="17"/>
      <c r="G97" s="17"/>
      <c r="H97" s="25"/>
      <c r="I97" s="18"/>
      <c r="J97" s="41"/>
      <c r="K97" s="19"/>
      <c r="L97" s="20"/>
      <c r="M97" s="20"/>
      <c r="N97" s="20"/>
      <c r="O97" s="20"/>
      <c r="P97" s="17"/>
      <c r="Q97" s="21"/>
      <c r="R97" s="22"/>
      <c r="S97" s="22"/>
      <c r="T97" s="91"/>
      <c r="U97" s="259"/>
      <c r="V97" s="45"/>
      <c r="W97" s="23"/>
      <c r="X97" s="121"/>
      <c r="Y97" s="30"/>
      <c r="Z97" s="68"/>
      <c r="AA97" s="247"/>
      <c r="AB97" s="253">
        <f>X97/30*AA97</f>
        <v>0</v>
      </c>
      <c r="AC97" s="22"/>
      <c r="AD97" s="22"/>
      <c r="AE97" s="30">
        <f>Y97+AB97+AC97+AD97</f>
        <v>0</v>
      </c>
      <c r="AF97" s="31"/>
      <c r="AG97" s="22"/>
    </row>
    <row r="98" spans="1:35" x14ac:dyDescent="0.25">
      <c r="A98" s="13" t="s">
        <v>33</v>
      </c>
      <c r="B98" s="252"/>
      <c r="C98" s="86"/>
      <c r="D98" s="14"/>
      <c r="E98" s="16"/>
      <c r="F98" s="17"/>
      <c r="G98" s="17"/>
      <c r="H98" s="25"/>
      <c r="I98" s="18"/>
      <c r="J98" s="41"/>
      <c r="K98" s="19"/>
      <c r="L98" s="20"/>
      <c r="M98" s="20"/>
      <c r="N98" s="20"/>
      <c r="O98" s="20"/>
      <c r="P98" s="17"/>
      <c r="Q98" s="21"/>
      <c r="R98" s="22"/>
      <c r="S98" s="22"/>
      <c r="T98" s="91"/>
      <c r="U98" s="258"/>
      <c r="V98" s="45"/>
      <c r="W98" s="23"/>
      <c r="X98" s="121"/>
      <c r="Y98" s="30"/>
      <c r="Z98" s="22"/>
      <c r="AA98" s="247"/>
      <c r="AB98" s="30"/>
      <c r="AC98" s="30"/>
      <c r="AD98" s="30"/>
      <c r="AE98" s="31"/>
      <c r="AF98" s="31"/>
      <c r="AG98" s="22"/>
    </row>
    <row r="99" spans="1:35" x14ac:dyDescent="0.25">
      <c r="A99" s="13" t="s">
        <v>35</v>
      </c>
      <c r="B99" s="94"/>
      <c r="C99" s="91"/>
      <c r="D99" s="14"/>
      <c r="E99" s="16"/>
      <c r="F99" s="17"/>
      <c r="G99" s="17"/>
      <c r="H99" s="25"/>
      <c r="I99" s="18"/>
      <c r="J99" s="19"/>
      <c r="K99" s="19"/>
      <c r="L99" s="20"/>
      <c r="M99" s="20"/>
      <c r="N99" s="20"/>
      <c r="O99" s="20"/>
      <c r="P99" s="17"/>
      <c r="Q99" s="21"/>
      <c r="R99" s="22"/>
      <c r="S99" s="22"/>
      <c r="T99" s="86"/>
      <c r="U99" s="86"/>
      <c r="V99" s="45"/>
      <c r="W99" s="23"/>
      <c r="X99" s="121"/>
      <c r="Y99" s="30"/>
      <c r="Z99" s="30"/>
      <c r="AA99" s="247"/>
      <c r="AB99" s="30"/>
      <c r="AC99" s="21"/>
      <c r="AD99" s="21"/>
      <c r="AE99" s="31"/>
      <c r="AF99" s="31"/>
      <c r="AG99" s="22"/>
    </row>
    <row r="100" spans="1:35" x14ac:dyDescent="0.25">
      <c r="A100" s="223"/>
      <c r="B100" s="224" t="s">
        <v>48</v>
      </c>
      <c r="C100" s="225"/>
      <c r="D100" s="225"/>
      <c r="E100" s="225"/>
      <c r="F100" s="226"/>
      <c r="G100" s="226"/>
      <c r="H100" s="226"/>
      <c r="I100" s="225"/>
      <c r="J100" s="227">
        <f>SUM(J94:J97)</f>
        <v>0</v>
      </c>
      <c r="K100" s="228"/>
      <c r="L100" s="226"/>
      <c r="M100" s="229"/>
      <c r="N100" s="226"/>
      <c r="O100" s="226"/>
      <c r="P100" s="229"/>
      <c r="Q100" s="225"/>
      <c r="R100" s="225"/>
      <c r="S100" s="225"/>
      <c r="T100" s="225"/>
      <c r="U100" s="225"/>
      <c r="V100" s="216"/>
      <c r="W100" s="224"/>
      <c r="X100" s="226"/>
      <c r="Y100" s="226">
        <f>SUM(Y94:Y98)</f>
        <v>30981.359250000001</v>
      </c>
      <c r="Z100" s="226"/>
      <c r="AA100" s="225"/>
      <c r="AB100" s="226">
        <f>SUM(AB94:AB98)</f>
        <v>21117.458062500002</v>
      </c>
      <c r="AC100" s="226"/>
      <c r="AD100" s="226"/>
      <c r="AE100" s="226">
        <f>SUM(AE94:AE98)</f>
        <v>52098.817312500003</v>
      </c>
      <c r="AF100" s="226">
        <f>SUM(AF94:AF98)</f>
        <v>51996</v>
      </c>
      <c r="AG100" s="226">
        <f>SUM(AG94:AG98)</f>
        <v>0</v>
      </c>
    </row>
    <row r="103" spans="1:35" x14ac:dyDescent="0.25">
      <c r="A103" s="307" t="s">
        <v>0</v>
      </c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260"/>
    </row>
    <row r="104" spans="1:35" x14ac:dyDescent="0.25">
      <c r="A104" s="308" t="s">
        <v>100</v>
      </c>
      <c r="B104" s="308"/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260"/>
    </row>
    <row r="105" spans="1:35" ht="63" x14ac:dyDescent="0.25">
      <c r="A105" s="214" t="s">
        <v>2</v>
      </c>
      <c r="B105" s="215" t="s">
        <v>3</v>
      </c>
      <c r="C105" s="216" t="s">
        <v>4</v>
      </c>
      <c r="D105" s="217" t="s">
        <v>5</v>
      </c>
      <c r="E105" s="218"/>
      <c r="F105" s="218"/>
      <c r="G105" s="218"/>
      <c r="H105" s="218"/>
      <c r="I105" s="218"/>
      <c r="J105" s="219" t="s">
        <v>6</v>
      </c>
      <c r="K105" s="219" t="s">
        <v>7</v>
      </c>
      <c r="L105" s="220"/>
      <c r="M105" s="220"/>
      <c r="N105" s="309" t="s">
        <v>8</v>
      </c>
      <c r="O105" s="309"/>
      <c r="P105" s="309"/>
      <c r="Q105" s="217" t="s">
        <v>9</v>
      </c>
      <c r="R105" s="217" t="s">
        <v>10</v>
      </c>
      <c r="S105" s="217"/>
      <c r="T105" s="217" t="s">
        <v>11</v>
      </c>
      <c r="U105" s="217" t="s">
        <v>1220</v>
      </c>
      <c r="V105" s="217" t="s">
        <v>6</v>
      </c>
      <c r="W105" s="221" t="s">
        <v>13</v>
      </c>
      <c r="X105" s="251" t="s">
        <v>1165</v>
      </c>
      <c r="Y105" s="222" t="s">
        <v>15</v>
      </c>
      <c r="Z105" s="217" t="s">
        <v>1140</v>
      </c>
      <c r="AA105" s="309" t="s">
        <v>17</v>
      </c>
      <c r="AB105" s="309"/>
      <c r="AC105" s="217" t="s">
        <v>1181</v>
      </c>
      <c r="AD105" s="217" t="s">
        <v>1179</v>
      </c>
      <c r="AE105" s="216" t="s">
        <v>19</v>
      </c>
      <c r="AF105" s="216" t="s">
        <v>1173</v>
      </c>
      <c r="AG105" s="216" t="s">
        <v>13</v>
      </c>
    </row>
    <row r="106" spans="1:35" x14ac:dyDescent="0.25">
      <c r="A106" s="13" t="s">
        <v>20</v>
      </c>
      <c r="B106" s="264" t="s">
        <v>1227</v>
      </c>
      <c r="C106" s="91" t="s">
        <v>1195</v>
      </c>
      <c r="D106" s="14"/>
      <c r="E106" s="16"/>
      <c r="F106" s="17"/>
      <c r="G106" s="17"/>
      <c r="H106" s="25"/>
      <c r="I106" s="18"/>
      <c r="J106" s="19"/>
      <c r="K106" s="19"/>
      <c r="L106" s="20"/>
      <c r="M106" s="20"/>
      <c r="N106" s="20"/>
      <c r="O106" s="20"/>
      <c r="P106" s="17"/>
      <c r="Q106" s="21"/>
      <c r="R106" s="22"/>
      <c r="S106" s="22"/>
      <c r="T106" s="267" t="s">
        <v>1230</v>
      </c>
      <c r="U106" s="258">
        <v>5.3</v>
      </c>
      <c r="V106" s="45">
        <v>23000</v>
      </c>
      <c r="W106" s="23"/>
      <c r="X106" s="268">
        <v>81900</v>
      </c>
      <c r="Y106" s="255">
        <v>0</v>
      </c>
      <c r="Z106" s="30"/>
      <c r="AA106" s="254">
        <v>37</v>
      </c>
      <c r="AB106" s="253">
        <f>X106/30*AA106</f>
        <v>101010</v>
      </c>
      <c r="AC106" s="255"/>
      <c r="AD106" s="255"/>
      <c r="AE106" s="30">
        <f>Y106+AB106+AC106+AD106</f>
        <v>101010</v>
      </c>
      <c r="AF106" s="30"/>
      <c r="AG106" s="30"/>
      <c r="AI106" s="1">
        <f>14*5</f>
        <v>70</v>
      </c>
    </row>
    <row r="107" spans="1:35" x14ac:dyDescent="0.25">
      <c r="A107" s="13" t="s">
        <v>26</v>
      </c>
      <c r="B107" s="264" t="s">
        <v>1228</v>
      </c>
      <c r="C107" s="91" t="s">
        <v>1229</v>
      </c>
      <c r="D107" s="15"/>
      <c r="E107" s="16"/>
      <c r="F107" s="17"/>
      <c r="G107" s="17"/>
      <c r="H107" s="25"/>
      <c r="I107" s="18"/>
      <c r="J107" s="41"/>
      <c r="K107" s="19"/>
      <c r="L107" s="20"/>
      <c r="M107" s="20"/>
      <c r="N107" s="20"/>
      <c r="O107" s="20"/>
      <c r="P107" s="17"/>
      <c r="Q107" s="21"/>
      <c r="R107" s="22"/>
      <c r="S107" s="22"/>
      <c r="T107" s="91" t="s">
        <v>1231</v>
      </c>
      <c r="U107" s="91">
        <v>0.9</v>
      </c>
      <c r="V107" s="45"/>
      <c r="W107" s="23"/>
      <c r="X107" s="266">
        <v>78000</v>
      </c>
      <c r="Y107" s="30">
        <v>0</v>
      </c>
      <c r="Z107" s="30"/>
      <c r="AA107" s="22">
        <v>1</v>
      </c>
      <c r="AB107" s="255">
        <f>X107/30*AA107</f>
        <v>2600</v>
      </c>
      <c r="AC107" s="30"/>
      <c r="AD107" s="21"/>
      <c r="AE107" s="30">
        <f>Y107+AB107+AC107+AD107</f>
        <v>2600</v>
      </c>
      <c r="AF107"/>
      <c r="AG107" s="30"/>
      <c r="AI107" s="1">
        <f>14/12*3</f>
        <v>3.5</v>
      </c>
    </row>
    <row r="108" spans="1:35" x14ac:dyDescent="0.25">
      <c r="A108" s="13" t="s">
        <v>29</v>
      </c>
      <c r="B108" s="94"/>
      <c r="C108" s="91"/>
      <c r="D108" s="15"/>
      <c r="E108" s="16"/>
      <c r="F108" s="17"/>
      <c r="G108" s="17"/>
      <c r="H108" s="25"/>
      <c r="I108" s="18"/>
      <c r="J108" s="41"/>
      <c r="K108" s="19"/>
      <c r="L108" s="20"/>
      <c r="M108" s="20"/>
      <c r="N108" s="20"/>
      <c r="O108" s="20"/>
      <c r="P108" s="17"/>
      <c r="Q108" s="21"/>
      <c r="R108" s="22"/>
      <c r="S108" s="22"/>
      <c r="T108" s="91"/>
      <c r="U108" s="259"/>
      <c r="V108" s="45"/>
      <c r="W108" s="23"/>
      <c r="X108" s="158"/>
      <c r="Y108" s="30"/>
      <c r="Z108" s="68"/>
      <c r="AA108" s="22"/>
      <c r="AB108" s="253"/>
      <c r="AC108" s="30"/>
      <c r="AD108" s="21"/>
      <c r="AE108" s="30"/>
      <c r="AF108" s="30"/>
      <c r="AG108" s="30"/>
      <c r="AI108" s="1">
        <f>SUM(AI106:AI107)</f>
        <v>73.5</v>
      </c>
    </row>
    <row r="109" spans="1:35" x14ac:dyDescent="0.25">
      <c r="A109" s="13" t="s">
        <v>31</v>
      </c>
      <c r="B109" s="92"/>
      <c r="C109" s="86"/>
      <c r="D109" s="15"/>
      <c r="E109" s="16"/>
      <c r="F109" s="17"/>
      <c r="G109" s="17"/>
      <c r="H109" s="25"/>
      <c r="I109" s="18"/>
      <c r="J109" s="41"/>
      <c r="K109" s="19"/>
      <c r="L109" s="20"/>
      <c r="M109" s="20"/>
      <c r="N109" s="20"/>
      <c r="O109" s="20"/>
      <c r="P109" s="17"/>
      <c r="Q109" s="21"/>
      <c r="R109" s="22"/>
      <c r="S109" s="22"/>
      <c r="T109" s="91"/>
      <c r="U109" s="259"/>
      <c r="V109" s="45"/>
      <c r="W109" s="23"/>
      <c r="X109" s="121"/>
      <c r="Y109" s="30"/>
      <c r="Z109" s="68"/>
      <c r="AA109" s="247"/>
      <c r="AB109" s="253">
        <f>X109/30*AA109</f>
        <v>0</v>
      </c>
      <c r="AC109" s="22"/>
      <c r="AD109" s="22"/>
      <c r="AE109" s="30">
        <f>Y109+AB109+AC109+AD109</f>
        <v>0</v>
      </c>
      <c r="AF109" s="31"/>
      <c r="AG109" s="22"/>
      <c r="AI109" s="1">
        <f>AI108/2</f>
        <v>36.75</v>
      </c>
    </row>
    <row r="110" spans="1:35" x14ac:dyDescent="0.25">
      <c r="A110" s="13" t="s">
        <v>33</v>
      </c>
      <c r="B110" s="252"/>
      <c r="C110" s="86"/>
      <c r="D110" s="14"/>
      <c r="E110" s="16"/>
      <c r="F110" s="17"/>
      <c r="G110" s="17"/>
      <c r="H110" s="25"/>
      <c r="I110" s="18"/>
      <c r="J110" s="41"/>
      <c r="K110" s="19"/>
      <c r="L110" s="20"/>
      <c r="M110" s="20"/>
      <c r="N110" s="20"/>
      <c r="O110" s="20"/>
      <c r="P110" s="17"/>
      <c r="Q110" s="21"/>
      <c r="R110" s="22"/>
      <c r="S110" s="22"/>
      <c r="T110" s="91"/>
      <c r="U110" s="258"/>
      <c r="V110" s="45"/>
      <c r="W110" s="23"/>
      <c r="X110" s="121"/>
      <c r="Y110" s="30"/>
      <c r="Z110" s="22"/>
      <c r="AA110" s="247"/>
      <c r="AB110" s="30"/>
      <c r="AC110" s="30"/>
      <c r="AD110" s="30"/>
      <c r="AE110" s="31"/>
      <c r="AF110" s="31"/>
      <c r="AG110" s="22"/>
    </row>
    <row r="111" spans="1:35" x14ac:dyDescent="0.25">
      <c r="A111" s="13" t="s">
        <v>35</v>
      </c>
      <c r="B111" s="94"/>
      <c r="C111" s="91"/>
      <c r="D111" s="14"/>
      <c r="E111" s="16"/>
      <c r="F111" s="17"/>
      <c r="G111" s="17"/>
      <c r="H111" s="25"/>
      <c r="I111" s="18"/>
      <c r="J111" s="19"/>
      <c r="K111" s="19"/>
      <c r="L111" s="20"/>
      <c r="M111" s="20"/>
      <c r="N111" s="20"/>
      <c r="O111" s="20"/>
      <c r="P111" s="17"/>
      <c r="Q111" s="21"/>
      <c r="R111" s="22"/>
      <c r="S111" s="22"/>
      <c r="T111" s="86"/>
      <c r="U111" s="86"/>
      <c r="V111" s="45"/>
      <c r="W111" s="23"/>
      <c r="X111" s="121"/>
      <c r="Y111" s="30"/>
      <c r="Z111" s="30"/>
      <c r="AA111" s="247"/>
      <c r="AB111" s="30"/>
      <c r="AC111" s="21"/>
      <c r="AD111" s="21"/>
      <c r="AE111" s="31"/>
      <c r="AF111" s="31"/>
      <c r="AG111" s="22"/>
    </row>
    <row r="112" spans="1:35" x14ac:dyDescent="0.25">
      <c r="A112" s="223"/>
      <c r="B112" s="224" t="s">
        <v>48</v>
      </c>
      <c r="C112" s="225"/>
      <c r="D112" s="225"/>
      <c r="E112" s="225"/>
      <c r="F112" s="226"/>
      <c r="G112" s="226"/>
      <c r="H112" s="226"/>
      <c r="I112" s="225"/>
      <c r="J112" s="227">
        <f>SUM(J106:J109)</f>
        <v>0</v>
      </c>
      <c r="K112" s="228"/>
      <c r="L112" s="226"/>
      <c r="M112" s="229"/>
      <c r="N112" s="226"/>
      <c r="O112" s="226"/>
      <c r="P112" s="229"/>
      <c r="Q112" s="225"/>
      <c r="R112" s="225"/>
      <c r="S112" s="225"/>
      <c r="T112" s="225"/>
      <c r="U112" s="225"/>
      <c r="V112" s="216"/>
      <c r="W112" s="224"/>
      <c r="X112" s="226"/>
      <c r="Y112" s="226">
        <f>SUM(Y106:Y110)</f>
        <v>0</v>
      </c>
      <c r="Z112" s="226"/>
      <c r="AA112" s="225"/>
      <c r="AB112" s="226">
        <f>SUM(AB106:AB110)</f>
        <v>103610</v>
      </c>
      <c r="AC112" s="226"/>
      <c r="AD112" s="226"/>
      <c r="AE112" s="226">
        <f>SUM(AE106:AE110)</f>
        <v>103610</v>
      </c>
      <c r="AF112" s="226">
        <f>SUM(AF106:AF110)</f>
        <v>0</v>
      </c>
      <c r="AG112" s="226">
        <f>SUM(AG106:AG110)</f>
        <v>0</v>
      </c>
    </row>
    <row r="116" spans="1:42" x14ac:dyDescent="0.25">
      <c r="A116" s="307" t="s">
        <v>0</v>
      </c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</row>
    <row r="117" spans="1:42" x14ac:dyDescent="0.25">
      <c r="A117" s="308" t="s">
        <v>100</v>
      </c>
      <c r="B117" s="308"/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N117" s="1">
        <f>14/12*5.5</f>
        <v>6.416666666666667</v>
      </c>
    </row>
    <row r="118" spans="1:42" ht="63" x14ac:dyDescent="0.25">
      <c r="A118" s="214" t="s">
        <v>2</v>
      </c>
      <c r="B118" s="215" t="s">
        <v>3</v>
      </c>
      <c r="C118" s="216" t="s">
        <v>4</v>
      </c>
      <c r="D118" s="217" t="s">
        <v>5</v>
      </c>
      <c r="E118" s="218"/>
      <c r="F118" s="218"/>
      <c r="G118" s="218"/>
      <c r="H118" s="218"/>
      <c r="I118" s="218"/>
      <c r="J118" s="219" t="s">
        <v>6</v>
      </c>
      <c r="K118" s="219" t="s">
        <v>7</v>
      </c>
      <c r="L118" s="220"/>
      <c r="M118" s="220"/>
      <c r="N118" s="309" t="s">
        <v>8</v>
      </c>
      <c r="O118" s="309"/>
      <c r="P118" s="309"/>
      <c r="Q118" s="217" t="s">
        <v>9</v>
      </c>
      <c r="R118" s="217" t="s">
        <v>10</v>
      </c>
      <c r="S118" s="217"/>
      <c r="T118" s="217" t="s">
        <v>11</v>
      </c>
      <c r="U118" s="217" t="s">
        <v>1220</v>
      </c>
      <c r="V118" s="217" t="s">
        <v>6</v>
      </c>
      <c r="W118" s="221" t="s">
        <v>13</v>
      </c>
      <c r="X118" s="251" t="s">
        <v>1165</v>
      </c>
      <c r="Y118" s="222" t="s">
        <v>15</v>
      </c>
      <c r="Z118" s="217" t="s">
        <v>1140</v>
      </c>
      <c r="AA118" s="309" t="s">
        <v>17</v>
      </c>
      <c r="AB118" s="309"/>
      <c r="AC118" s="217" t="s">
        <v>1181</v>
      </c>
      <c r="AD118" s="217" t="s">
        <v>1179</v>
      </c>
      <c r="AE118" s="216" t="s">
        <v>19</v>
      </c>
      <c r="AF118" s="216" t="s">
        <v>1173</v>
      </c>
      <c r="AG118" s="216" t="s">
        <v>13</v>
      </c>
      <c r="AI118" s="343" t="s">
        <v>1236</v>
      </c>
      <c r="AJ118" s="343"/>
      <c r="AK118" s="343"/>
      <c r="AL118" s="1">
        <v>2021</v>
      </c>
      <c r="AM118" s="1">
        <v>2022</v>
      </c>
      <c r="AN118" s="1">
        <v>2023</v>
      </c>
      <c r="AO118" s="1">
        <v>2024</v>
      </c>
      <c r="AP118" s="1" t="s">
        <v>19</v>
      </c>
    </row>
    <row r="119" spans="1:42" x14ac:dyDescent="0.25">
      <c r="A119" s="13" t="s">
        <v>20</v>
      </c>
      <c r="B119" s="264" t="s">
        <v>1232</v>
      </c>
      <c r="C119" s="91" t="s">
        <v>57</v>
      </c>
      <c r="D119" s="14"/>
      <c r="E119" s="16"/>
      <c r="F119" s="17"/>
      <c r="G119" s="17"/>
      <c r="H119" s="25"/>
      <c r="I119" s="18"/>
      <c r="J119" s="19"/>
      <c r="K119" s="19"/>
      <c r="L119" s="20"/>
      <c r="M119" s="20"/>
      <c r="N119" s="20"/>
      <c r="O119" s="20"/>
      <c r="P119" s="17"/>
      <c r="Q119" s="21"/>
      <c r="R119" s="22"/>
      <c r="S119" s="22"/>
      <c r="T119" s="91" t="s">
        <v>1234</v>
      </c>
      <c r="U119" s="258">
        <v>0.5</v>
      </c>
      <c r="V119" s="45"/>
      <c r="W119" s="23"/>
      <c r="X119" s="268">
        <v>6000</v>
      </c>
      <c r="Y119" s="255">
        <v>0</v>
      </c>
      <c r="Z119" s="30"/>
      <c r="AA119" s="254">
        <v>3</v>
      </c>
      <c r="AB119" s="253">
        <f>X119/30*AA119</f>
        <v>600</v>
      </c>
      <c r="AC119" s="255"/>
      <c r="AD119" s="255"/>
      <c r="AE119" s="30"/>
      <c r="AF119" s="30">
        <v>600</v>
      </c>
      <c r="AG119" s="30">
        <f>AF119+AB119</f>
        <v>1200</v>
      </c>
      <c r="AI119" s="1">
        <v>270</v>
      </c>
      <c r="AJ119" s="1">
        <v>7</v>
      </c>
      <c r="AK119" s="1">
        <f>AJ119*AI119</f>
        <v>1890</v>
      </c>
      <c r="AL119" s="1">
        <f>14/12*2</f>
        <v>2.3333333333333335</v>
      </c>
      <c r="AM119" s="1">
        <v>14</v>
      </c>
      <c r="AN119" s="1">
        <v>13</v>
      </c>
      <c r="AO119" s="1">
        <f>7-4</f>
        <v>3</v>
      </c>
      <c r="AP119" s="1">
        <f>AL119+AM119+AN119</f>
        <v>29.333333333333332</v>
      </c>
    </row>
    <row r="120" spans="1:42" x14ac:dyDescent="0.25">
      <c r="A120" s="13" t="s">
        <v>26</v>
      </c>
      <c r="B120" s="264" t="s">
        <v>853</v>
      </c>
      <c r="C120" s="91" t="s">
        <v>1233</v>
      </c>
      <c r="D120" s="15"/>
      <c r="E120" s="16"/>
      <c r="F120" s="17"/>
      <c r="G120" s="17"/>
      <c r="H120" s="25"/>
      <c r="I120" s="18"/>
      <c r="J120" s="41"/>
      <c r="K120" s="19"/>
      <c r="L120" s="20"/>
      <c r="M120" s="20"/>
      <c r="N120" s="20"/>
      <c r="O120" s="20"/>
      <c r="P120" s="17"/>
      <c r="Q120" s="21"/>
      <c r="R120" s="22"/>
      <c r="S120" s="22"/>
      <c r="T120" s="91" t="s">
        <v>1235</v>
      </c>
      <c r="U120" s="91">
        <v>2.8</v>
      </c>
      <c r="V120" s="45"/>
      <c r="W120" s="23"/>
      <c r="X120" s="268">
        <v>8008</v>
      </c>
      <c r="Y120" s="30">
        <v>0</v>
      </c>
      <c r="Z120" s="30"/>
      <c r="AA120" s="22">
        <v>15</v>
      </c>
      <c r="AB120" s="253">
        <f>X120/30*AA120</f>
        <v>4004</v>
      </c>
      <c r="AC120" s="30"/>
      <c r="AD120" s="21"/>
      <c r="AE120" s="30"/>
      <c r="AF120">
        <v>15348</v>
      </c>
      <c r="AG120" s="30">
        <f>AF120+AB120</f>
        <v>19352</v>
      </c>
      <c r="AI120" s="1">
        <v>328</v>
      </c>
      <c r="AJ120" s="1">
        <v>3</v>
      </c>
      <c r="AK120" s="1">
        <f t="shared" ref="AK120:AK122" si="5">AJ120*AI120</f>
        <v>984</v>
      </c>
    </row>
    <row r="121" spans="1:42" x14ac:dyDescent="0.25">
      <c r="A121" s="13" t="s">
        <v>29</v>
      </c>
      <c r="B121" s="94"/>
      <c r="C121" s="91"/>
      <c r="D121" s="15"/>
      <c r="E121" s="16"/>
      <c r="F121" s="17"/>
      <c r="G121" s="17"/>
      <c r="H121" s="25"/>
      <c r="I121" s="18"/>
      <c r="J121" s="41"/>
      <c r="K121" s="19"/>
      <c r="L121" s="20"/>
      <c r="M121" s="20"/>
      <c r="N121" s="20"/>
      <c r="O121" s="20"/>
      <c r="P121" s="17"/>
      <c r="Q121" s="21"/>
      <c r="R121" s="22"/>
      <c r="S121" s="22"/>
      <c r="T121" s="91"/>
      <c r="U121" s="259"/>
      <c r="V121" s="45"/>
      <c r="W121" s="23"/>
      <c r="X121" s="158"/>
      <c r="Y121" s="30"/>
      <c r="Z121" s="68"/>
      <c r="AA121" s="22"/>
      <c r="AB121" s="253"/>
      <c r="AC121" s="30"/>
      <c r="AD121" s="21"/>
      <c r="AE121" s="30"/>
      <c r="AF121" s="30"/>
      <c r="AG121" s="30"/>
      <c r="AI121" s="1">
        <v>350</v>
      </c>
      <c r="AJ121" s="1">
        <v>8</v>
      </c>
      <c r="AK121" s="1">
        <f t="shared" si="5"/>
        <v>2800</v>
      </c>
    </row>
    <row r="122" spans="1:42" x14ac:dyDescent="0.25">
      <c r="A122" s="13" t="s">
        <v>31</v>
      </c>
      <c r="B122" s="92"/>
      <c r="C122" s="86"/>
      <c r="D122" s="15"/>
      <c r="E122" s="16"/>
      <c r="F122" s="17"/>
      <c r="G122" s="17"/>
      <c r="H122" s="25"/>
      <c r="I122" s="18"/>
      <c r="J122" s="41"/>
      <c r="K122" s="19"/>
      <c r="L122" s="20"/>
      <c r="M122" s="20"/>
      <c r="N122" s="20"/>
      <c r="O122" s="20"/>
      <c r="P122" s="17"/>
      <c r="Q122" s="21"/>
      <c r="R122" s="22"/>
      <c r="S122" s="22"/>
      <c r="T122" s="91"/>
      <c r="U122" s="259"/>
      <c r="V122" s="45"/>
      <c r="W122" s="23"/>
      <c r="X122" s="121"/>
      <c r="Y122" s="30"/>
      <c r="Z122" s="68"/>
      <c r="AA122" s="247"/>
      <c r="AB122" s="253">
        <f>X122/30*AA122</f>
        <v>0</v>
      </c>
      <c r="AC122" s="22"/>
      <c r="AD122" s="22"/>
      <c r="AE122" s="30">
        <f>Y122+AB122+AC122+AD122</f>
        <v>0</v>
      </c>
      <c r="AF122" s="31"/>
      <c r="AG122" s="22"/>
      <c r="AI122" s="1">
        <v>400</v>
      </c>
      <c r="AJ122" s="1">
        <v>5</v>
      </c>
      <c r="AK122" s="1">
        <f t="shared" si="5"/>
        <v>2000</v>
      </c>
    </row>
    <row r="123" spans="1:42" x14ac:dyDescent="0.25">
      <c r="A123" s="13" t="s">
        <v>33</v>
      </c>
      <c r="B123" s="252"/>
      <c r="C123" s="86"/>
      <c r="D123" s="14"/>
      <c r="E123" s="16"/>
      <c r="F123" s="17"/>
      <c r="G123" s="17"/>
      <c r="H123" s="25"/>
      <c r="I123" s="18"/>
      <c r="J123" s="41"/>
      <c r="K123" s="19"/>
      <c r="L123" s="20"/>
      <c r="M123" s="20"/>
      <c r="N123" s="20"/>
      <c r="O123" s="20"/>
      <c r="P123" s="17"/>
      <c r="Q123" s="21"/>
      <c r="R123" s="22"/>
      <c r="S123" s="22"/>
      <c r="T123" s="91"/>
      <c r="U123" s="258"/>
      <c r="V123" s="45"/>
      <c r="W123" s="23"/>
      <c r="X123" s="121"/>
      <c r="Y123" s="30"/>
      <c r="Z123" s="22"/>
      <c r="AA123" s="247"/>
      <c r="AB123" s="30"/>
      <c r="AC123" s="30"/>
      <c r="AD123" s="30"/>
      <c r="AE123" s="31"/>
      <c r="AF123" s="31"/>
      <c r="AG123" s="22"/>
      <c r="AK123" s="1">
        <f>SUM(AK119:AK122)</f>
        <v>7674</v>
      </c>
    </row>
    <row r="124" spans="1:42" x14ac:dyDescent="0.25">
      <c r="A124" s="13" t="s">
        <v>35</v>
      </c>
      <c r="B124" s="94"/>
      <c r="C124" s="91"/>
      <c r="D124" s="14"/>
      <c r="E124" s="16"/>
      <c r="F124" s="17"/>
      <c r="G124" s="17"/>
      <c r="H124" s="25"/>
      <c r="I124" s="18"/>
      <c r="J124" s="19"/>
      <c r="K124" s="19"/>
      <c r="L124" s="20"/>
      <c r="M124" s="20"/>
      <c r="N124" s="20"/>
      <c r="O124" s="20"/>
      <c r="P124" s="17"/>
      <c r="Q124" s="21"/>
      <c r="R124" s="22"/>
      <c r="S124" s="22"/>
      <c r="T124" s="86"/>
      <c r="U124" s="86"/>
      <c r="V124" s="45"/>
      <c r="W124" s="23"/>
      <c r="X124" s="121"/>
      <c r="Y124" s="30"/>
      <c r="Z124" s="30"/>
      <c r="AA124" s="247"/>
      <c r="AB124" s="30"/>
      <c r="AC124" s="21"/>
      <c r="AD124" s="21"/>
      <c r="AE124" s="31"/>
      <c r="AF124" s="31"/>
      <c r="AG124" s="22"/>
      <c r="AK124" s="1">
        <f>AK123*2</f>
        <v>15348</v>
      </c>
    </row>
    <row r="125" spans="1:42" x14ac:dyDescent="0.25">
      <c r="A125" s="223"/>
      <c r="B125" s="224" t="s">
        <v>48</v>
      </c>
      <c r="C125" s="225"/>
      <c r="D125" s="225"/>
      <c r="E125" s="225"/>
      <c r="F125" s="226"/>
      <c r="G125" s="226"/>
      <c r="H125" s="226"/>
      <c r="I125" s="225"/>
      <c r="J125" s="227">
        <f>SUM(J119:J122)</f>
        <v>0</v>
      </c>
      <c r="K125" s="228"/>
      <c r="L125" s="226"/>
      <c r="M125" s="229"/>
      <c r="N125" s="226"/>
      <c r="O125" s="226"/>
      <c r="P125" s="229"/>
      <c r="Q125" s="225"/>
      <c r="R125" s="225"/>
      <c r="S125" s="225"/>
      <c r="T125" s="225"/>
      <c r="U125" s="225"/>
      <c r="V125" s="216"/>
      <c r="W125" s="224"/>
      <c r="X125" s="226"/>
      <c r="Y125" s="226">
        <f>SUM(Y119:Y123)</f>
        <v>0</v>
      </c>
      <c r="Z125" s="226"/>
      <c r="AA125" s="225"/>
      <c r="AB125" s="226">
        <f>SUM(AB119:AB123)</f>
        <v>4604</v>
      </c>
      <c r="AC125" s="226"/>
      <c r="AD125" s="226"/>
      <c r="AE125" s="226">
        <f>SUM(AE119:AE123)</f>
        <v>0</v>
      </c>
      <c r="AF125" s="226">
        <f>SUM(AF119:AF123)</f>
        <v>15948</v>
      </c>
      <c r="AG125" s="226">
        <f>SUM(AG119:AG123)</f>
        <v>20552</v>
      </c>
    </row>
    <row r="130" spans="1:33" x14ac:dyDescent="0.25">
      <c r="A130" s="307" t="s">
        <v>0</v>
      </c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</row>
    <row r="131" spans="1:33" x14ac:dyDescent="0.25">
      <c r="A131" s="308" t="s">
        <v>100</v>
      </c>
      <c r="B131" s="308"/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</row>
    <row r="132" spans="1:33" ht="63" x14ac:dyDescent="0.25">
      <c r="A132" s="214" t="s">
        <v>2</v>
      </c>
      <c r="B132" s="215" t="s">
        <v>3</v>
      </c>
      <c r="C132" s="216" t="s">
        <v>4</v>
      </c>
      <c r="D132" s="217" t="s">
        <v>5</v>
      </c>
      <c r="E132" s="218"/>
      <c r="F132" s="218"/>
      <c r="G132" s="218"/>
      <c r="H132" s="218"/>
      <c r="I132" s="218"/>
      <c r="J132" s="219" t="s">
        <v>6</v>
      </c>
      <c r="K132" s="219" t="s">
        <v>7</v>
      </c>
      <c r="L132" s="220"/>
      <c r="M132" s="220"/>
      <c r="N132" s="309" t="s">
        <v>8</v>
      </c>
      <c r="O132" s="309"/>
      <c r="P132" s="309"/>
      <c r="Q132" s="217" t="s">
        <v>9</v>
      </c>
      <c r="R132" s="217" t="s">
        <v>10</v>
      </c>
      <c r="S132" s="217"/>
      <c r="T132" s="217" t="s">
        <v>11</v>
      </c>
      <c r="U132" s="217" t="s">
        <v>1220</v>
      </c>
      <c r="V132" s="217" t="s">
        <v>6</v>
      </c>
      <c r="W132" s="221" t="s">
        <v>13</v>
      </c>
      <c r="X132" s="251" t="s">
        <v>1165</v>
      </c>
      <c r="Y132" s="222" t="s">
        <v>15</v>
      </c>
      <c r="Z132" s="217" t="s">
        <v>1140</v>
      </c>
      <c r="AA132" s="309" t="s">
        <v>17</v>
      </c>
      <c r="AB132" s="309"/>
      <c r="AC132" s="217" t="s">
        <v>1181</v>
      </c>
      <c r="AD132" s="217" t="s">
        <v>1179</v>
      </c>
      <c r="AE132" s="216" t="s">
        <v>19</v>
      </c>
      <c r="AF132" s="216" t="s">
        <v>1173</v>
      </c>
      <c r="AG132" s="216" t="s">
        <v>13</v>
      </c>
    </row>
    <row r="133" spans="1:33" x14ac:dyDescent="0.25">
      <c r="A133" s="13" t="s">
        <v>20</v>
      </c>
      <c r="B133" s="264" t="s">
        <v>1237</v>
      </c>
      <c r="C133" s="91" t="s">
        <v>1238</v>
      </c>
      <c r="D133" s="14"/>
      <c r="E133" s="16"/>
      <c r="F133" s="17"/>
      <c r="G133" s="17"/>
      <c r="H133" s="25"/>
      <c r="I133" s="18"/>
      <c r="J133" s="19"/>
      <c r="K133" s="19"/>
      <c r="L133" s="20"/>
      <c r="M133" s="20"/>
      <c r="N133" s="20"/>
      <c r="O133" s="20"/>
      <c r="P133" s="17"/>
      <c r="Q133" s="21"/>
      <c r="R133" s="22"/>
      <c r="S133" s="22"/>
      <c r="T133" s="272">
        <v>44713</v>
      </c>
      <c r="U133" s="271">
        <v>2</v>
      </c>
      <c r="V133" s="45"/>
      <c r="W133" s="23"/>
      <c r="X133" s="269">
        <v>7600</v>
      </c>
      <c r="Y133" s="255">
        <v>0</v>
      </c>
      <c r="Z133" s="30"/>
      <c r="AA133" s="254">
        <v>7</v>
      </c>
      <c r="AB133" s="253">
        <f>X133/30*AA133</f>
        <v>1773.3333333333335</v>
      </c>
      <c r="AC133" s="255"/>
      <c r="AD133" s="255"/>
      <c r="AE133" s="30">
        <f>Y133+AB133+AD133</f>
        <v>1773.3333333333335</v>
      </c>
      <c r="AF133" s="30">
        <f>Sheet10!B43</f>
        <v>13984</v>
      </c>
      <c r="AG133" s="30">
        <f>AF133+AE133</f>
        <v>15757.333333333334</v>
      </c>
    </row>
    <row r="134" spans="1:33" x14ac:dyDescent="0.25">
      <c r="A134" s="13" t="s">
        <v>26</v>
      </c>
      <c r="B134" s="125" t="s">
        <v>936</v>
      </c>
      <c r="C134" s="124" t="s">
        <v>1238</v>
      </c>
      <c r="D134" s="15"/>
      <c r="E134" s="16"/>
      <c r="F134" s="17"/>
      <c r="G134" s="17"/>
      <c r="H134" s="25"/>
      <c r="I134" s="18"/>
      <c r="J134" s="41"/>
      <c r="K134" s="19"/>
      <c r="L134" s="20"/>
      <c r="M134" s="20"/>
      <c r="N134" s="20"/>
      <c r="O134" s="20"/>
      <c r="P134" s="17"/>
      <c r="Q134" s="21"/>
      <c r="R134" s="22"/>
      <c r="S134" s="22"/>
      <c r="T134" s="91" t="s">
        <v>939</v>
      </c>
      <c r="U134" s="91">
        <v>5.4</v>
      </c>
      <c r="V134" s="45"/>
      <c r="W134" s="23"/>
      <c r="X134" s="268">
        <v>8241</v>
      </c>
      <c r="Y134" s="30">
        <v>0</v>
      </c>
      <c r="Z134" s="30"/>
      <c r="AA134" s="22">
        <v>34</v>
      </c>
      <c r="AB134" s="255">
        <f t="shared" ref="AB134:AB137" si="6">X134/30*AA134</f>
        <v>9339.7999999999993</v>
      </c>
      <c r="AC134" s="30"/>
      <c r="AD134" s="21"/>
      <c r="AE134" s="30">
        <f t="shared" ref="AE134:AE137" si="7">Y134+AB134+AD134</f>
        <v>9339.7999999999993</v>
      </c>
      <c r="AF134">
        <f>Sheet10!C43</f>
        <v>17558</v>
      </c>
      <c r="AG134" s="30">
        <f t="shared" ref="AG134:AG137" si="8">AF134+AE134</f>
        <v>26897.8</v>
      </c>
    </row>
    <row r="135" spans="1:33" x14ac:dyDescent="0.25">
      <c r="A135" s="13" t="s">
        <v>29</v>
      </c>
      <c r="B135" s="125" t="s">
        <v>1239</v>
      </c>
      <c r="C135" s="124" t="s">
        <v>1240</v>
      </c>
      <c r="D135" s="86" t="s">
        <v>1241</v>
      </c>
      <c r="E135" s="86" t="s">
        <v>1178</v>
      </c>
      <c r="F135" s="17"/>
      <c r="G135" s="17"/>
      <c r="H135" s="25"/>
      <c r="I135" s="18"/>
      <c r="J135" s="41"/>
      <c r="K135" s="19"/>
      <c r="L135" s="20"/>
      <c r="M135" s="20"/>
      <c r="N135" s="20"/>
      <c r="O135" s="20"/>
      <c r="P135" s="17"/>
      <c r="Q135" s="21"/>
      <c r="R135" s="22"/>
      <c r="S135" s="22"/>
      <c r="T135" s="86" t="s">
        <v>1178</v>
      </c>
      <c r="U135" s="258">
        <v>2.1</v>
      </c>
      <c r="V135" s="45"/>
      <c r="W135" s="23"/>
      <c r="X135" s="270">
        <v>7600</v>
      </c>
      <c r="Y135" s="30"/>
      <c r="Z135" s="68"/>
      <c r="AA135" s="22">
        <v>15</v>
      </c>
      <c r="AB135" s="253">
        <f t="shared" si="6"/>
        <v>3800</v>
      </c>
      <c r="AC135" s="30"/>
      <c r="AD135" s="21"/>
      <c r="AE135" s="30">
        <f t="shared" si="7"/>
        <v>3800</v>
      </c>
      <c r="AF135" s="30">
        <f>Sheet10!D43</f>
        <v>16044</v>
      </c>
      <c r="AG135" s="30">
        <f t="shared" si="8"/>
        <v>19844</v>
      </c>
    </row>
    <row r="136" spans="1:33" x14ac:dyDescent="0.25">
      <c r="A136" s="13" t="s">
        <v>31</v>
      </c>
      <c r="B136" s="94" t="s">
        <v>1047</v>
      </c>
      <c r="C136" s="91" t="s">
        <v>914</v>
      </c>
      <c r="D136" s="15"/>
      <c r="E136" s="16"/>
      <c r="F136" s="17"/>
      <c r="G136" s="17"/>
      <c r="H136" s="25"/>
      <c r="I136" s="18"/>
      <c r="J136" s="41"/>
      <c r="K136" s="19"/>
      <c r="L136" s="20"/>
      <c r="M136" s="20"/>
      <c r="N136" s="20"/>
      <c r="O136" s="20"/>
      <c r="P136" s="17"/>
      <c r="Q136" s="21"/>
      <c r="R136" s="22"/>
      <c r="S136" s="22"/>
      <c r="T136" s="91" t="s">
        <v>263</v>
      </c>
      <c r="U136" s="258" t="s">
        <v>1251</v>
      </c>
      <c r="V136" s="45"/>
      <c r="W136" s="23"/>
      <c r="X136" s="270">
        <v>8666</v>
      </c>
      <c r="Y136" s="30">
        <f>X136*3</f>
        <v>25998</v>
      </c>
      <c r="Z136" s="68"/>
      <c r="AA136" s="247">
        <v>36</v>
      </c>
      <c r="AB136" s="253">
        <f t="shared" si="6"/>
        <v>10399.200000000001</v>
      </c>
      <c r="AC136" s="22"/>
      <c r="AD136" s="22"/>
      <c r="AE136" s="30">
        <f t="shared" si="7"/>
        <v>36397.199999999997</v>
      </c>
      <c r="AF136" s="31">
        <f>Sheet10!E43</f>
        <v>15918</v>
      </c>
      <c r="AG136" s="30">
        <f t="shared" si="8"/>
        <v>52315.199999999997</v>
      </c>
    </row>
    <row r="137" spans="1:33" x14ac:dyDescent="0.25">
      <c r="A137" s="13" t="s">
        <v>35</v>
      </c>
      <c r="B137" s="94" t="s">
        <v>1243</v>
      </c>
      <c r="C137" s="86" t="s">
        <v>1240</v>
      </c>
      <c r="D137" s="14"/>
      <c r="E137" s="16"/>
      <c r="F137" s="17"/>
      <c r="G137" s="17"/>
      <c r="H137" s="25"/>
      <c r="I137" s="18"/>
      <c r="J137" s="19"/>
      <c r="K137" s="19"/>
      <c r="L137" s="20"/>
      <c r="M137" s="20"/>
      <c r="N137" s="20"/>
      <c r="O137" s="20"/>
      <c r="P137" s="17"/>
      <c r="Q137" s="21"/>
      <c r="R137" s="22"/>
      <c r="S137" s="22"/>
      <c r="T137" s="91" t="s">
        <v>948</v>
      </c>
      <c r="U137" s="91" t="s">
        <v>1252</v>
      </c>
      <c r="V137" s="45"/>
      <c r="W137" s="23"/>
      <c r="X137" s="268">
        <v>8241</v>
      </c>
      <c r="Y137" s="30">
        <f>X137*3</f>
        <v>24723</v>
      </c>
      <c r="Z137" s="30"/>
      <c r="AA137" s="247">
        <v>32</v>
      </c>
      <c r="AB137" s="253">
        <f t="shared" si="6"/>
        <v>8790.4</v>
      </c>
      <c r="AC137" s="21"/>
      <c r="AD137" s="21"/>
      <c r="AE137" s="30">
        <f t="shared" si="7"/>
        <v>33513.4</v>
      </c>
      <c r="AF137" s="31">
        <f>Sheet10!G43</f>
        <v>15086</v>
      </c>
      <c r="AG137" s="30">
        <f t="shared" si="8"/>
        <v>48599.4</v>
      </c>
    </row>
    <row r="138" spans="1:33" x14ac:dyDescent="0.25">
      <c r="A138" s="223"/>
      <c r="B138" s="224" t="s">
        <v>48</v>
      </c>
      <c r="C138" s="225"/>
      <c r="D138" s="225"/>
      <c r="E138" s="225"/>
      <c r="F138" s="226"/>
      <c r="G138" s="226"/>
      <c r="H138" s="226"/>
      <c r="I138" s="225"/>
      <c r="J138" s="227">
        <f>SUM(J133:J136)</f>
        <v>0</v>
      </c>
      <c r="K138" s="228"/>
      <c r="L138" s="226"/>
      <c r="M138" s="229"/>
      <c r="N138" s="226"/>
      <c r="O138" s="226"/>
      <c r="P138" s="229"/>
      <c r="Q138" s="225"/>
      <c r="R138" s="225"/>
      <c r="S138" s="225"/>
      <c r="T138" s="225"/>
      <c r="U138" s="225"/>
      <c r="V138" s="216"/>
      <c r="W138" s="224"/>
      <c r="X138" s="226"/>
      <c r="Y138" s="226">
        <f>SUM(Y133:Y137)</f>
        <v>50721</v>
      </c>
      <c r="Z138" s="226"/>
      <c r="AA138" s="225"/>
      <c r="AB138" s="226">
        <f>SUM(AB133:AB137)</f>
        <v>34102.733333333337</v>
      </c>
      <c r="AC138" s="226"/>
      <c r="AD138" s="226"/>
      <c r="AE138" s="226">
        <f>SUM(AE133:AE137)</f>
        <v>84823.733333333337</v>
      </c>
      <c r="AF138" s="226">
        <f>SUM(AF133:AF137)</f>
        <v>78590</v>
      </c>
      <c r="AG138" s="226">
        <f>SUM(AG133:AG137)</f>
        <v>163413.73333333334</v>
      </c>
    </row>
    <row r="140" spans="1:33" x14ac:dyDescent="0.25">
      <c r="A140" s="13" t="s">
        <v>33</v>
      </c>
      <c r="B140" s="252" t="s">
        <v>1242</v>
      </c>
      <c r="C140" s="91" t="s">
        <v>87</v>
      </c>
      <c r="D140" s="14"/>
      <c r="E140" s="16"/>
      <c r="F140" s="17"/>
      <c r="G140" s="17"/>
      <c r="H140" s="25"/>
      <c r="I140" s="18"/>
      <c r="J140" s="41"/>
      <c r="K140" s="19"/>
      <c r="L140" s="20"/>
      <c r="M140" s="20"/>
      <c r="N140" s="20"/>
      <c r="O140" s="20"/>
      <c r="P140" s="17"/>
      <c r="Q140" s="21"/>
      <c r="R140" s="22"/>
      <c r="S140" s="22"/>
      <c r="T140" s="91" t="s">
        <v>91</v>
      </c>
      <c r="U140" s="259" t="s">
        <v>1250</v>
      </c>
      <c r="V140" s="45"/>
      <c r="W140" s="23"/>
      <c r="X140" s="270">
        <v>15766.645421208799</v>
      </c>
      <c r="Y140" s="30">
        <f>X140*14</f>
        <v>220733.03589692319</v>
      </c>
      <c r="Z140" s="22"/>
      <c r="AA140" s="247">
        <v>111</v>
      </c>
      <c r="AB140" s="253">
        <f t="shared" ref="AB140" si="9">X140/30*AA140</f>
        <v>58336.58805847256</v>
      </c>
      <c r="AC140" s="30"/>
      <c r="AD140" s="30">
        <v>3000</v>
      </c>
      <c r="AE140" s="30">
        <f t="shared" ref="AE140" si="10">Y140+AB140+AD140</f>
        <v>282069.62395539577</v>
      </c>
      <c r="AF140" s="31">
        <f>Sheet10!F43</f>
        <v>35444</v>
      </c>
      <c r="AG140" s="30">
        <f t="shared" ref="AG140" si="11">AF140+AE140</f>
        <v>317513.62395539577</v>
      </c>
    </row>
    <row r="142" spans="1:33" x14ac:dyDescent="0.25">
      <c r="A142" s="13" t="s">
        <v>33</v>
      </c>
      <c r="B142" s="252" t="s">
        <v>1271</v>
      </c>
      <c r="C142" s="91" t="s">
        <v>57</v>
      </c>
      <c r="D142" s="14"/>
      <c r="E142" s="16"/>
      <c r="F142" s="17"/>
      <c r="G142" s="17"/>
      <c r="H142" s="25"/>
      <c r="I142" s="18"/>
      <c r="J142" s="41"/>
      <c r="K142" s="19"/>
      <c r="L142" s="20"/>
      <c r="M142" s="20"/>
      <c r="N142" s="20"/>
      <c r="O142" s="20"/>
      <c r="P142" s="17"/>
      <c r="Q142" s="21"/>
      <c r="R142" s="22"/>
      <c r="S142" s="22"/>
      <c r="T142" s="91" t="s">
        <v>250</v>
      </c>
      <c r="U142" s="259" t="s">
        <v>1272</v>
      </c>
      <c r="V142" s="45"/>
      <c r="W142" s="23"/>
      <c r="X142" s="270">
        <v>10390</v>
      </c>
      <c r="Y142" s="30">
        <f>X142*5</f>
        <v>51950</v>
      </c>
      <c r="Z142" s="22"/>
      <c r="AA142" s="247">
        <v>54</v>
      </c>
      <c r="AB142" s="253">
        <f>X142/30*AA142</f>
        <v>18702</v>
      </c>
      <c r="AC142" s="30"/>
      <c r="AD142" s="30"/>
      <c r="AE142" s="30">
        <f>Y142+AB142+AD142</f>
        <v>70652</v>
      </c>
      <c r="AF142" s="31">
        <v>24170</v>
      </c>
      <c r="AG142" s="30">
        <f>AF142+AE142</f>
        <v>94822</v>
      </c>
    </row>
    <row r="144" spans="1:33" x14ac:dyDescent="0.25">
      <c r="AA144" s="1" t="s">
        <v>1100</v>
      </c>
    </row>
    <row r="146" spans="1:33" x14ac:dyDescent="0.25">
      <c r="A146" s="307" t="s">
        <v>0</v>
      </c>
      <c r="B146" s="307"/>
      <c r="C146" s="307"/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  <c r="X146" s="307"/>
      <c r="Y146" s="307"/>
      <c r="Z146" s="307"/>
      <c r="AA146" s="307"/>
      <c r="AB146" s="307"/>
      <c r="AC146" s="307"/>
      <c r="AD146" s="307"/>
      <c r="AE146" s="307"/>
      <c r="AF146" s="307"/>
      <c r="AG146" s="307"/>
    </row>
    <row r="147" spans="1:33" x14ac:dyDescent="0.25">
      <c r="A147" s="308" t="s">
        <v>100</v>
      </c>
      <c r="B147" s="308"/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</row>
    <row r="148" spans="1:33" ht="63" x14ac:dyDescent="0.25">
      <c r="A148" s="214" t="s">
        <v>2</v>
      </c>
      <c r="B148" s="215" t="s">
        <v>3</v>
      </c>
      <c r="C148" s="216" t="s">
        <v>4</v>
      </c>
      <c r="D148" s="217" t="s">
        <v>5</v>
      </c>
      <c r="E148" s="218"/>
      <c r="F148" s="218"/>
      <c r="G148" s="218"/>
      <c r="H148" s="218"/>
      <c r="I148" s="218"/>
      <c r="J148" s="219" t="s">
        <v>6</v>
      </c>
      <c r="K148" s="219" t="s">
        <v>7</v>
      </c>
      <c r="L148" s="220"/>
      <c r="M148" s="220"/>
      <c r="N148" s="309" t="s">
        <v>8</v>
      </c>
      <c r="O148" s="309"/>
      <c r="P148" s="309"/>
      <c r="Q148" s="217" t="s">
        <v>9</v>
      </c>
      <c r="R148" s="217" t="s">
        <v>10</v>
      </c>
      <c r="S148" s="217"/>
      <c r="T148" s="217" t="s">
        <v>11</v>
      </c>
      <c r="U148" s="217" t="s">
        <v>1220</v>
      </c>
      <c r="V148" s="217" t="s">
        <v>6</v>
      </c>
      <c r="W148" s="221" t="s">
        <v>13</v>
      </c>
      <c r="X148" s="251" t="s">
        <v>1165</v>
      </c>
      <c r="Y148" s="222" t="s">
        <v>15</v>
      </c>
      <c r="Z148" s="217" t="s">
        <v>1140</v>
      </c>
      <c r="AA148" s="309" t="s">
        <v>17</v>
      </c>
      <c r="AB148" s="309"/>
      <c r="AC148" s="217" t="s">
        <v>1181</v>
      </c>
      <c r="AD148" s="217" t="s">
        <v>1179</v>
      </c>
      <c r="AE148" s="216" t="s">
        <v>19</v>
      </c>
      <c r="AF148" s="216" t="s">
        <v>1173</v>
      </c>
      <c r="AG148" s="216" t="s">
        <v>13</v>
      </c>
    </row>
    <row r="149" spans="1:33" x14ac:dyDescent="0.25">
      <c r="A149" s="13" t="s">
        <v>20</v>
      </c>
      <c r="B149" s="264" t="s">
        <v>1275</v>
      </c>
      <c r="C149" s="91" t="s">
        <v>57</v>
      </c>
      <c r="D149" s="14"/>
      <c r="E149" s="16"/>
      <c r="F149" s="17"/>
      <c r="G149" s="17"/>
      <c r="H149" s="25"/>
      <c r="I149" s="18"/>
      <c r="J149" s="19"/>
      <c r="K149" s="19"/>
      <c r="L149" s="20"/>
      <c r="M149" s="20"/>
      <c r="N149" s="20"/>
      <c r="O149" s="20"/>
      <c r="P149" s="17"/>
      <c r="Q149" s="21"/>
      <c r="R149" s="22"/>
      <c r="S149" s="22"/>
      <c r="T149" s="86" t="s">
        <v>1217</v>
      </c>
      <c r="U149" s="276">
        <v>1.1000000000000001</v>
      </c>
      <c r="V149" s="45"/>
      <c r="W149" s="23"/>
      <c r="X149" s="269">
        <v>8857</v>
      </c>
      <c r="Y149" s="255">
        <v>0</v>
      </c>
      <c r="Z149" s="30"/>
      <c r="AA149" s="254">
        <v>10</v>
      </c>
      <c r="AB149" s="253">
        <f>X149/30*AA149</f>
        <v>2952.3333333333335</v>
      </c>
      <c r="AC149" s="255"/>
      <c r="AD149" s="255"/>
      <c r="AE149" s="30">
        <f>Y149+AB149+AD149</f>
        <v>2952.3333333333335</v>
      </c>
      <c r="AF149" s="30">
        <f>Sheet10!B50</f>
        <v>330</v>
      </c>
      <c r="AG149" s="30">
        <f>AF149+AE149</f>
        <v>3282.3333333333335</v>
      </c>
    </row>
    <row r="150" spans="1:33" x14ac:dyDescent="0.25">
      <c r="A150" s="13" t="s">
        <v>26</v>
      </c>
      <c r="B150" s="92" t="s">
        <v>1278</v>
      </c>
      <c r="C150" s="86" t="s">
        <v>602</v>
      </c>
      <c r="D150" s="15"/>
      <c r="E150" s="16"/>
      <c r="F150" s="17"/>
      <c r="G150" s="17"/>
      <c r="H150" s="25"/>
      <c r="I150" s="18"/>
      <c r="J150" s="41"/>
      <c r="K150" s="19"/>
      <c r="L150" s="20"/>
      <c r="M150" s="20"/>
      <c r="N150" s="20"/>
      <c r="O150" s="20"/>
      <c r="P150" s="17"/>
      <c r="Q150" s="21"/>
      <c r="R150" s="22"/>
      <c r="S150" s="22"/>
      <c r="T150" s="86" t="s">
        <v>1234</v>
      </c>
      <c r="U150" s="259">
        <v>0.11</v>
      </c>
      <c r="V150" s="45"/>
      <c r="W150" s="23"/>
      <c r="X150" s="268">
        <v>7143</v>
      </c>
      <c r="Y150" s="30">
        <v>0</v>
      </c>
      <c r="Z150" s="30"/>
      <c r="AA150" s="22">
        <v>7</v>
      </c>
      <c r="AB150" s="253">
        <f t="shared" ref="AB150:AB151" si="12">X150/30*AA150</f>
        <v>1666.7</v>
      </c>
      <c r="AC150" s="30"/>
      <c r="AD150" s="21"/>
      <c r="AE150" s="30">
        <f t="shared" ref="AE150:AE151" si="13">Y150+AB150+AD150</f>
        <v>1666.7</v>
      </c>
      <c r="AF150">
        <f>Sheet10!C50</f>
        <v>0</v>
      </c>
      <c r="AG150" s="30">
        <f t="shared" ref="AG150:AG151" si="14">AF150+AE150</f>
        <v>1666.7</v>
      </c>
    </row>
    <row r="151" spans="1:33" ht="30" x14ac:dyDescent="0.25">
      <c r="A151" s="13" t="s">
        <v>29</v>
      </c>
      <c r="B151" s="92" t="s">
        <v>1276</v>
      </c>
      <c r="C151" s="86" t="s">
        <v>1277</v>
      </c>
      <c r="D151" s="86" t="s">
        <v>1241</v>
      </c>
      <c r="E151" s="86" t="s">
        <v>1178</v>
      </c>
      <c r="F151" s="17"/>
      <c r="G151" s="17"/>
      <c r="H151" s="25"/>
      <c r="I151" s="18"/>
      <c r="J151" s="41"/>
      <c r="K151" s="19"/>
      <c r="L151" s="20"/>
      <c r="M151" s="20"/>
      <c r="N151" s="20"/>
      <c r="O151" s="20"/>
      <c r="P151" s="17"/>
      <c r="Q151" s="21"/>
      <c r="R151" s="22"/>
      <c r="S151" s="22"/>
      <c r="T151" s="91" t="s">
        <v>1234</v>
      </c>
      <c r="U151" s="259">
        <v>0.11</v>
      </c>
      <c r="V151" s="45"/>
      <c r="W151" s="23"/>
      <c r="X151" s="270">
        <v>12857</v>
      </c>
      <c r="Y151" s="30"/>
      <c r="Z151" s="68"/>
      <c r="AA151" s="22">
        <v>7</v>
      </c>
      <c r="AB151" s="253">
        <f t="shared" si="12"/>
        <v>2999.9666666666667</v>
      </c>
      <c r="AC151" s="30"/>
      <c r="AD151" s="21"/>
      <c r="AE151" s="30">
        <f t="shared" si="13"/>
        <v>2999.9666666666667</v>
      </c>
      <c r="AF151" s="30">
        <f>Sheet10!D50</f>
        <v>0</v>
      </c>
      <c r="AG151" s="30">
        <f t="shared" si="14"/>
        <v>2999.9666666666667</v>
      </c>
    </row>
    <row r="152" spans="1:33" x14ac:dyDescent="0.25">
      <c r="A152" s="223"/>
      <c r="B152" s="224" t="s">
        <v>48</v>
      </c>
      <c r="C152" s="225"/>
      <c r="D152" s="225"/>
      <c r="E152" s="225"/>
      <c r="F152" s="226"/>
      <c r="G152" s="226"/>
      <c r="H152" s="226"/>
      <c r="I152" s="225"/>
      <c r="J152" s="227">
        <f>SUM(J149:J151)</f>
        <v>0</v>
      </c>
      <c r="K152" s="228"/>
      <c r="L152" s="226"/>
      <c r="M152" s="229"/>
      <c r="N152" s="226"/>
      <c r="O152" s="226"/>
      <c r="P152" s="229"/>
      <c r="Q152" s="225"/>
      <c r="R152" s="225"/>
      <c r="S152" s="225"/>
      <c r="T152" s="225"/>
      <c r="U152" s="225"/>
      <c r="V152" s="216"/>
      <c r="W152" s="224"/>
      <c r="X152" s="226"/>
      <c r="Y152" s="226">
        <f>SUM(Y149:Y151)</f>
        <v>0</v>
      </c>
      <c r="Z152" s="226"/>
      <c r="AA152" s="225"/>
      <c r="AB152" s="226">
        <f>SUM(AB149:AB151)</f>
        <v>7619</v>
      </c>
      <c r="AC152" s="226"/>
      <c r="AD152" s="226"/>
      <c r="AE152" s="226">
        <f>SUM(AE149:AE151)</f>
        <v>7619</v>
      </c>
      <c r="AF152" s="226">
        <f>SUM(AF149:AF151)</f>
        <v>330</v>
      </c>
      <c r="AG152" s="226">
        <f>SUM(AG149:AG151)</f>
        <v>7949</v>
      </c>
    </row>
    <row r="154" spans="1:33" x14ac:dyDescent="0.25">
      <c r="A154" s="307" t="s">
        <v>0</v>
      </c>
      <c r="B154" s="307"/>
      <c r="C154" s="307"/>
      <c r="D154" s="307"/>
      <c r="E154" s="307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  <c r="X154" s="307"/>
      <c r="Y154" s="307"/>
      <c r="Z154" s="307"/>
      <c r="AA154" s="307"/>
      <c r="AB154" s="307"/>
      <c r="AC154" s="307"/>
      <c r="AD154" s="307"/>
      <c r="AE154" s="307"/>
      <c r="AF154" s="307"/>
      <c r="AG154" s="307"/>
    </row>
    <row r="155" spans="1:33" x14ac:dyDescent="0.25">
      <c r="A155" s="308" t="s">
        <v>100</v>
      </c>
      <c r="B155" s="308"/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</row>
    <row r="156" spans="1:33" ht="63" x14ac:dyDescent="0.25">
      <c r="A156" s="214" t="s">
        <v>2</v>
      </c>
      <c r="B156" s="215" t="s">
        <v>3</v>
      </c>
      <c r="C156" s="216" t="s">
        <v>4</v>
      </c>
      <c r="D156" s="217" t="s">
        <v>5</v>
      </c>
      <c r="E156" s="218"/>
      <c r="F156" s="218"/>
      <c r="G156" s="218"/>
      <c r="H156" s="218"/>
      <c r="I156" s="218"/>
      <c r="J156" s="219" t="s">
        <v>6</v>
      </c>
      <c r="K156" s="219" t="s">
        <v>7</v>
      </c>
      <c r="L156" s="220"/>
      <c r="M156" s="220"/>
      <c r="N156" s="309" t="s">
        <v>8</v>
      </c>
      <c r="O156" s="309"/>
      <c r="P156" s="309"/>
      <c r="Q156" s="217" t="s">
        <v>9</v>
      </c>
      <c r="R156" s="217" t="s">
        <v>10</v>
      </c>
      <c r="S156" s="217"/>
      <c r="T156" s="217" t="s">
        <v>11</v>
      </c>
      <c r="U156" s="217" t="s">
        <v>1220</v>
      </c>
      <c r="V156" s="217" t="s">
        <v>6</v>
      </c>
      <c r="W156" s="221" t="s">
        <v>13</v>
      </c>
      <c r="X156" s="251" t="s">
        <v>1165</v>
      </c>
      <c r="Y156" s="222" t="s">
        <v>15</v>
      </c>
      <c r="Z156" s="217" t="s">
        <v>1140</v>
      </c>
      <c r="AA156" s="309" t="s">
        <v>17</v>
      </c>
      <c r="AB156" s="309"/>
      <c r="AC156" s="217" t="s">
        <v>1181</v>
      </c>
      <c r="AD156" s="217" t="s">
        <v>1179</v>
      </c>
      <c r="AE156" s="216" t="s">
        <v>19</v>
      </c>
      <c r="AF156" s="216" t="s">
        <v>1173</v>
      </c>
      <c r="AG156" s="216" t="s">
        <v>13</v>
      </c>
    </row>
    <row r="157" spans="1:33" x14ac:dyDescent="0.25">
      <c r="A157" s="13" t="s">
        <v>20</v>
      </c>
      <c r="B157" s="264" t="s">
        <v>1295</v>
      </c>
      <c r="C157" s="91" t="s">
        <v>1224</v>
      </c>
      <c r="D157" s="14"/>
      <c r="E157" s="16"/>
      <c r="F157" s="17"/>
      <c r="G157" s="17"/>
      <c r="H157" s="25"/>
      <c r="I157" s="18"/>
      <c r="J157" s="19"/>
      <c r="K157" s="19"/>
      <c r="L157" s="20"/>
      <c r="M157" s="20"/>
      <c r="N157" s="20"/>
      <c r="O157" s="20"/>
      <c r="P157" s="17"/>
      <c r="Q157" s="21"/>
      <c r="R157" s="22"/>
      <c r="S157" s="22"/>
      <c r="T157" s="91" t="s">
        <v>1296</v>
      </c>
      <c r="U157" s="276">
        <v>1</v>
      </c>
      <c r="V157" s="45"/>
      <c r="W157" s="23"/>
      <c r="X157" s="269">
        <v>28571</v>
      </c>
      <c r="Y157" s="255">
        <v>0</v>
      </c>
      <c r="Z157" s="30"/>
      <c r="AA157" s="254">
        <v>6</v>
      </c>
      <c r="AB157" s="253">
        <f>X157/30*AA157</f>
        <v>5714.2</v>
      </c>
      <c r="AC157" s="255"/>
      <c r="AD157" s="255"/>
      <c r="AE157" s="30">
        <f>Y157+AB157+AD157</f>
        <v>5714.2</v>
      </c>
      <c r="AF157" s="30">
        <f>(X157*5%)*(9)*2</f>
        <v>25713.9</v>
      </c>
      <c r="AG157" s="30">
        <f>AF157+AE157</f>
        <v>31428.100000000002</v>
      </c>
    </row>
    <row r="158" spans="1:33" x14ac:dyDescent="0.25">
      <c r="A158" s="13" t="s">
        <v>26</v>
      </c>
      <c r="B158" s="92" t="s">
        <v>1278</v>
      </c>
      <c r="C158" s="86" t="s">
        <v>602</v>
      </c>
      <c r="D158" s="15"/>
      <c r="E158" s="16"/>
      <c r="F158" s="17"/>
      <c r="G158" s="17"/>
      <c r="H158" s="25"/>
      <c r="I158" s="18"/>
      <c r="J158" s="41"/>
      <c r="K158" s="19"/>
      <c r="L158" s="20"/>
      <c r="M158" s="20"/>
      <c r="N158" s="20"/>
      <c r="O158" s="20"/>
      <c r="P158" s="17"/>
      <c r="Q158" s="21"/>
      <c r="R158" s="22"/>
      <c r="S158" s="22"/>
      <c r="T158" s="86" t="s">
        <v>1234</v>
      </c>
      <c r="U158" s="259">
        <v>0.11</v>
      </c>
      <c r="V158" s="45"/>
      <c r="W158" s="23"/>
      <c r="X158" s="268">
        <v>7143</v>
      </c>
      <c r="Y158" s="30">
        <v>0</v>
      </c>
      <c r="Z158" s="30"/>
      <c r="AA158" s="22">
        <v>7</v>
      </c>
      <c r="AB158" s="253">
        <f t="shared" ref="AB158:AB159" si="15">X158/30*AA158</f>
        <v>1666.7</v>
      </c>
      <c r="AC158" s="30"/>
      <c r="AD158" s="21"/>
      <c r="AE158" s="30">
        <f t="shared" ref="AE158:AE159" si="16">Y158+AB158+AD158</f>
        <v>1666.7</v>
      </c>
      <c r="AF158">
        <f>Sheet10!C58</f>
        <v>0</v>
      </c>
      <c r="AG158" s="30">
        <f t="shared" ref="AG158:AG159" si="17">AF158+AE158</f>
        <v>1666.7</v>
      </c>
    </row>
    <row r="159" spans="1:33" ht="30" x14ac:dyDescent="0.25">
      <c r="A159" s="13" t="s">
        <v>29</v>
      </c>
      <c r="B159" s="92" t="s">
        <v>1276</v>
      </c>
      <c r="C159" s="86" t="s">
        <v>1277</v>
      </c>
      <c r="D159" s="86" t="s">
        <v>1241</v>
      </c>
      <c r="E159" s="86" t="s">
        <v>1178</v>
      </c>
      <c r="F159" s="17"/>
      <c r="G159" s="17"/>
      <c r="H159" s="25"/>
      <c r="I159" s="18"/>
      <c r="J159" s="41"/>
      <c r="K159" s="19"/>
      <c r="L159" s="20"/>
      <c r="M159" s="20"/>
      <c r="N159" s="20"/>
      <c r="O159" s="20"/>
      <c r="P159" s="17"/>
      <c r="Q159" s="21"/>
      <c r="R159" s="22"/>
      <c r="S159" s="22"/>
      <c r="T159" s="91" t="s">
        <v>1234</v>
      </c>
      <c r="U159" s="259">
        <v>0.11</v>
      </c>
      <c r="V159" s="45"/>
      <c r="W159" s="23"/>
      <c r="X159" s="270">
        <v>12857</v>
      </c>
      <c r="Y159" s="30"/>
      <c r="Z159" s="68"/>
      <c r="AA159" s="22">
        <v>7</v>
      </c>
      <c r="AB159" s="253">
        <f t="shared" si="15"/>
        <v>2999.9666666666667</v>
      </c>
      <c r="AC159" s="30"/>
      <c r="AD159" s="21"/>
      <c r="AE159" s="30">
        <f t="shared" si="16"/>
        <v>2999.9666666666667</v>
      </c>
      <c r="AF159" s="30">
        <f>Sheet10!D58</f>
        <v>0</v>
      </c>
      <c r="AG159" s="30">
        <f t="shared" si="17"/>
        <v>2999.9666666666667</v>
      </c>
    </row>
    <row r="160" spans="1:33" x14ac:dyDescent="0.25">
      <c r="A160" s="223"/>
      <c r="B160" s="224" t="s">
        <v>48</v>
      </c>
      <c r="C160" s="225"/>
      <c r="D160" s="225"/>
      <c r="E160" s="225"/>
      <c r="F160" s="226"/>
      <c r="G160" s="226"/>
      <c r="H160" s="226"/>
      <c r="I160" s="225"/>
      <c r="J160" s="227">
        <f>SUM(J157:J159)</f>
        <v>0</v>
      </c>
      <c r="K160" s="228"/>
      <c r="L160" s="226"/>
      <c r="M160" s="229"/>
      <c r="N160" s="226"/>
      <c r="O160" s="226"/>
      <c r="P160" s="229"/>
      <c r="Q160" s="225"/>
      <c r="R160" s="225"/>
      <c r="S160" s="225"/>
      <c r="T160" s="225"/>
      <c r="U160" s="225"/>
      <c r="V160" s="216"/>
      <c r="W160" s="224"/>
      <c r="X160" s="226"/>
      <c r="Y160" s="226">
        <f>SUM(Y157:Y159)</f>
        <v>0</v>
      </c>
      <c r="Z160" s="226"/>
      <c r="AA160" s="225"/>
      <c r="AB160" s="226">
        <f>SUM(AB157:AB159)</f>
        <v>10380.866666666667</v>
      </c>
      <c r="AC160" s="226"/>
      <c r="AD160" s="226"/>
      <c r="AE160" s="226">
        <f>SUM(AE157:AE159)</f>
        <v>10380.866666666667</v>
      </c>
      <c r="AF160" s="226">
        <f>SUM(AF157:AF159)</f>
        <v>25713.9</v>
      </c>
      <c r="AG160" s="226">
        <f>SUM(AG157:AG159)</f>
        <v>36094.76666666667</v>
      </c>
    </row>
    <row r="162" spans="1:33" x14ac:dyDescent="0.25">
      <c r="AF162" s="83"/>
    </row>
    <row r="163" spans="1:33" x14ac:dyDescent="0.25">
      <c r="A163" s="307" t="s">
        <v>0</v>
      </c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07"/>
      <c r="Z163" s="307"/>
      <c r="AA163" s="307"/>
      <c r="AB163" s="307"/>
      <c r="AC163" s="307"/>
      <c r="AD163" s="307"/>
      <c r="AE163" s="307"/>
      <c r="AF163" s="307"/>
      <c r="AG163" s="307"/>
    </row>
    <row r="164" spans="1:33" x14ac:dyDescent="0.25">
      <c r="A164" s="308" t="s">
        <v>100</v>
      </c>
      <c r="B164" s="308"/>
      <c r="C164" s="308"/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</row>
    <row r="165" spans="1:33" ht="63" x14ac:dyDescent="0.25">
      <c r="A165" s="214" t="s">
        <v>2</v>
      </c>
      <c r="B165" s="215" t="s">
        <v>3</v>
      </c>
      <c r="C165" s="216" t="s">
        <v>4</v>
      </c>
      <c r="D165" s="217" t="s">
        <v>5</v>
      </c>
      <c r="E165" s="218"/>
      <c r="F165" s="218"/>
      <c r="G165" s="218"/>
      <c r="H165" s="218"/>
      <c r="I165" s="218"/>
      <c r="J165" s="219" t="s">
        <v>6</v>
      </c>
      <c r="K165" s="219" t="s">
        <v>7</v>
      </c>
      <c r="L165" s="220"/>
      <c r="M165" s="220"/>
      <c r="N165" s="309" t="s">
        <v>8</v>
      </c>
      <c r="O165" s="309"/>
      <c r="P165" s="309"/>
      <c r="Q165" s="217" t="s">
        <v>9</v>
      </c>
      <c r="R165" s="217" t="s">
        <v>10</v>
      </c>
      <c r="S165" s="217"/>
      <c r="T165" s="217" t="s">
        <v>11</v>
      </c>
      <c r="U165" s="217" t="s">
        <v>1220</v>
      </c>
      <c r="V165" s="217" t="s">
        <v>6</v>
      </c>
      <c r="W165" s="221" t="s">
        <v>13</v>
      </c>
      <c r="X165" s="251" t="s">
        <v>1165</v>
      </c>
      <c r="Y165" s="222" t="s">
        <v>15</v>
      </c>
      <c r="Z165" s="217" t="s">
        <v>1140</v>
      </c>
      <c r="AA165" s="309" t="s">
        <v>17</v>
      </c>
      <c r="AB165" s="309"/>
      <c r="AC165" s="217" t="s">
        <v>1181</v>
      </c>
      <c r="AD165" s="217" t="s">
        <v>1179</v>
      </c>
      <c r="AE165" s="216" t="s">
        <v>19</v>
      </c>
      <c r="AF165" s="216" t="s">
        <v>1173</v>
      </c>
      <c r="AG165" s="216" t="s">
        <v>13</v>
      </c>
    </row>
    <row r="166" spans="1:33" x14ac:dyDescent="0.25">
      <c r="A166" s="13" t="s">
        <v>20</v>
      </c>
      <c r="B166" s="264" t="s">
        <v>1301</v>
      </c>
      <c r="C166" s="91" t="s">
        <v>87</v>
      </c>
      <c r="D166" s="14"/>
      <c r="E166" s="16"/>
      <c r="F166" s="17"/>
      <c r="G166" s="17"/>
      <c r="H166" s="25"/>
      <c r="I166" s="18"/>
      <c r="J166" s="19"/>
      <c r="K166" s="19"/>
      <c r="L166" s="20"/>
      <c r="M166" s="20"/>
      <c r="N166" s="20"/>
      <c r="O166" s="20"/>
      <c r="P166" s="17"/>
      <c r="Q166" s="21"/>
      <c r="R166" s="22"/>
      <c r="S166" s="22"/>
      <c r="T166" s="281">
        <v>44896</v>
      </c>
      <c r="U166" s="282">
        <v>2.2999999999999998</v>
      </c>
      <c r="V166" s="45"/>
      <c r="W166" s="23"/>
      <c r="X166" s="269">
        <v>14858</v>
      </c>
      <c r="Y166" s="255">
        <v>0</v>
      </c>
      <c r="Z166" s="30"/>
      <c r="AA166" s="254">
        <f>15-7</f>
        <v>8</v>
      </c>
      <c r="AB166" s="253">
        <f>X166/30*AA166</f>
        <v>3962.1333333333332</v>
      </c>
      <c r="AC166" s="255"/>
      <c r="AD166" s="255"/>
      <c r="AE166" s="30">
        <f>Y166+AB166+AD166</f>
        <v>3962.1333333333332</v>
      </c>
      <c r="AF166" s="30">
        <v>30370</v>
      </c>
      <c r="AG166" s="30">
        <f>AF166+AE166</f>
        <v>34332.133333333331</v>
      </c>
    </row>
    <row r="167" spans="1:33" x14ac:dyDescent="0.25">
      <c r="A167" s="13" t="s">
        <v>26</v>
      </c>
      <c r="B167" s="94" t="s">
        <v>1052</v>
      </c>
      <c r="C167" s="91" t="s">
        <v>90</v>
      </c>
      <c r="D167" s="15"/>
      <c r="E167" s="16"/>
      <c r="F167" s="17"/>
      <c r="G167" s="17"/>
      <c r="H167" s="25"/>
      <c r="I167" s="18"/>
      <c r="J167" s="41"/>
      <c r="K167" s="19"/>
      <c r="L167" s="20"/>
      <c r="M167" s="20"/>
      <c r="N167" s="20"/>
      <c r="O167" s="20"/>
      <c r="P167" s="17"/>
      <c r="Q167" s="21"/>
      <c r="R167" s="22"/>
      <c r="S167" s="22"/>
      <c r="T167" s="281">
        <v>43282</v>
      </c>
      <c r="U167" s="258" t="s">
        <v>1305</v>
      </c>
      <c r="V167" s="45"/>
      <c r="W167" s="23"/>
      <c r="X167" s="268">
        <v>11342.825453124999</v>
      </c>
      <c r="Y167" s="30">
        <f>X167*3</f>
        <v>34028.476359374996</v>
      </c>
      <c r="Z167" s="30"/>
      <c r="AA167" s="22">
        <v>45</v>
      </c>
      <c r="AB167" s="253">
        <f t="shared" ref="AB167" si="18">X167/30*AA167</f>
        <v>17014.238179687498</v>
      </c>
      <c r="AC167" s="30"/>
      <c r="AD167" s="21"/>
      <c r="AE167" s="30">
        <f t="shared" ref="AE167" si="19">Y167+AB167+AD167</f>
        <v>51042.714539062494</v>
      </c>
      <c r="AF167">
        <v>30510</v>
      </c>
      <c r="AG167" s="30">
        <f t="shared" ref="AG167" si="20">AF167+AE167</f>
        <v>81552.714539062494</v>
      </c>
    </row>
    <row r="168" spans="1:33" x14ac:dyDescent="0.25">
      <c r="A168" s="223"/>
      <c r="B168" s="224" t="s">
        <v>48</v>
      </c>
      <c r="C168" s="225"/>
      <c r="D168" s="225"/>
      <c r="E168" s="225"/>
      <c r="F168" s="226"/>
      <c r="G168" s="226"/>
      <c r="H168" s="226"/>
      <c r="I168" s="225"/>
      <c r="J168" s="227">
        <f>SUM(J166:J167)</f>
        <v>0</v>
      </c>
      <c r="K168" s="228"/>
      <c r="L168" s="226"/>
      <c r="M168" s="229"/>
      <c r="N168" s="226"/>
      <c r="O168" s="226"/>
      <c r="P168" s="229"/>
      <c r="Q168" s="225"/>
      <c r="R168" s="225"/>
      <c r="S168" s="225"/>
      <c r="T168" s="225"/>
      <c r="U168" s="225"/>
      <c r="V168" s="216"/>
      <c r="W168" s="224"/>
      <c r="X168" s="226"/>
      <c r="Y168" s="226">
        <f>SUM(Y166:Y167)</f>
        <v>34028.476359374996</v>
      </c>
      <c r="Z168" s="226"/>
      <c r="AA168" s="225"/>
      <c r="AB168" s="226">
        <f>SUM(AB166:AB167)</f>
        <v>20976.371513020829</v>
      </c>
      <c r="AC168" s="226"/>
      <c r="AD168" s="226"/>
      <c r="AE168" s="226">
        <f>SUM(AE166:AE167)</f>
        <v>55004.847872395825</v>
      </c>
      <c r="AF168" s="226">
        <f>SUM(AF166:AF167)</f>
        <v>60880</v>
      </c>
      <c r="AG168" s="226">
        <f>SUM(AG166:AG167)</f>
        <v>115884.84787239583</v>
      </c>
    </row>
    <row r="170" spans="1:33" x14ac:dyDescent="0.25">
      <c r="C170" s="1">
        <v>2017</v>
      </c>
      <c r="S170" s="1">
        <v>2018</v>
      </c>
      <c r="T170" s="1">
        <v>2018</v>
      </c>
      <c r="U170" s="1">
        <v>2019</v>
      </c>
      <c r="X170" s="1">
        <v>2020</v>
      </c>
      <c r="Y170" s="1">
        <v>2021</v>
      </c>
      <c r="AA170" s="1">
        <v>2022</v>
      </c>
      <c r="AB170" s="1">
        <v>2023</v>
      </c>
      <c r="AD170" s="1">
        <v>2024</v>
      </c>
      <c r="AE170" s="1">
        <v>2025</v>
      </c>
      <c r="AG170" s="1" t="s">
        <v>1100</v>
      </c>
    </row>
    <row r="171" spans="1:33" x14ac:dyDescent="0.25">
      <c r="B171" s="264" t="s">
        <v>1301</v>
      </c>
      <c r="AB171" s="1">
        <v>6</v>
      </c>
      <c r="AD171" s="1">
        <v>0</v>
      </c>
    </row>
    <row r="172" spans="1:33" x14ac:dyDescent="0.25">
      <c r="B172" s="94" t="s">
        <v>1052</v>
      </c>
      <c r="X172" s="290"/>
      <c r="Y172" s="1">
        <v>0</v>
      </c>
      <c r="AA172" s="1">
        <v>0</v>
      </c>
      <c r="AB172" s="1">
        <v>0</v>
      </c>
      <c r="AD172" s="1">
        <v>0</v>
      </c>
    </row>
    <row r="174" spans="1:33" x14ac:dyDescent="0.25">
      <c r="AB174" s="1">
        <f>X166*40%</f>
        <v>5943.2000000000007</v>
      </c>
      <c r="AD174" s="90">
        <f>X166+AB174</f>
        <v>20801.2</v>
      </c>
    </row>
    <row r="175" spans="1:33" x14ac:dyDescent="0.25">
      <c r="AB175" s="1">
        <f>X167*40%</f>
        <v>4537.1301812499996</v>
      </c>
      <c r="AD175" s="90">
        <f>X167+AB175</f>
        <v>15879.955634374997</v>
      </c>
    </row>
    <row r="176" spans="1:33" x14ac:dyDescent="0.25">
      <c r="A176" s="307" t="s">
        <v>0</v>
      </c>
      <c r="B176" s="307"/>
      <c r="C176" s="307"/>
      <c r="D176" s="307"/>
      <c r="E176" s="307"/>
      <c r="F176" s="307"/>
      <c r="G176" s="307"/>
      <c r="H176" s="307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  <c r="X176" s="307"/>
      <c r="Y176" s="307"/>
      <c r="Z176" s="307"/>
      <c r="AA176" s="307"/>
      <c r="AB176" s="307"/>
      <c r="AC176" s="307"/>
      <c r="AD176" s="307"/>
      <c r="AE176" s="307"/>
      <c r="AF176" s="307"/>
      <c r="AG176" s="307"/>
    </row>
    <row r="177" spans="1:33" x14ac:dyDescent="0.25">
      <c r="A177" s="308" t="s">
        <v>100</v>
      </c>
      <c r="B177" s="308"/>
      <c r="C177" s="308"/>
      <c r="D177" s="308"/>
      <c r="E177" s="308"/>
      <c r="F177" s="308"/>
      <c r="G177" s="308"/>
      <c r="H177" s="308"/>
      <c r="I177" s="308"/>
      <c r="J177" s="308"/>
      <c r="K177" s="308"/>
      <c r="L177" s="308"/>
      <c r="M177" s="308"/>
      <c r="N177" s="308"/>
      <c r="O177" s="308"/>
      <c r="P177" s="308"/>
      <c r="Q177" s="308"/>
      <c r="R177" s="308"/>
      <c r="S177" s="308"/>
      <c r="T177" s="308"/>
      <c r="U177" s="308"/>
      <c r="V177" s="308"/>
      <c r="W177" s="308"/>
      <c r="X177" s="308"/>
      <c r="Y177" s="308"/>
      <c r="Z177" s="308"/>
      <c r="AA177" s="308"/>
      <c r="AB177" s="308"/>
      <c r="AC177" s="308"/>
      <c r="AD177" s="308"/>
      <c r="AE177" s="308"/>
      <c r="AF177" s="308"/>
      <c r="AG177" s="308"/>
    </row>
    <row r="178" spans="1:33" ht="63" x14ac:dyDescent="0.25">
      <c r="A178" s="214" t="s">
        <v>2</v>
      </c>
      <c r="B178" s="215" t="s">
        <v>3</v>
      </c>
      <c r="C178" s="216" t="s">
        <v>4</v>
      </c>
      <c r="D178" s="217" t="s">
        <v>5</v>
      </c>
      <c r="E178" s="218"/>
      <c r="F178" s="218"/>
      <c r="G178" s="218"/>
      <c r="H178" s="218"/>
      <c r="I178" s="218"/>
      <c r="J178" s="219" t="s">
        <v>6</v>
      </c>
      <c r="K178" s="219" t="s">
        <v>7</v>
      </c>
      <c r="L178" s="220"/>
      <c r="M178" s="220"/>
      <c r="N178" s="309" t="s">
        <v>8</v>
      </c>
      <c r="O178" s="309"/>
      <c r="P178" s="309"/>
      <c r="Q178" s="217" t="s">
        <v>9</v>
      </c>
      <c r="R178" s="217" t="s">
        <v>10</v>
      </c>
      <c r="S178" s="217"/>
      <c r="T178" s="217" t="s">
        <v>11</v>
      </c>
      <c r="U178" s="217" t="s">
        <v>1220</v>
      </c>
      <c r="V178" s="217" t="s">
        <v>6</v>
      </c>
      <c r="W178" s="221" t="s">
        <v>13</v>
      </c>
      <c r="X178" s="251" t="s">
        <v>1165</v>
      </c>
      <c r="Y178" s="222" t="s">
        <v>15</v>
      </c>
      <c r="Z178" s="217" t="s">
        <v>1140</v>
      </c>
      <c r="AA178" s="309" t="s">
        <v>17</v>
      </c>
      <c r="AB178" s="309"/>
      <c r="AC178" s="217" t="s">
        <v>1181</v>
      </c>
      <c r="AD178" s="217" t="s">
        <v>1179</v>
      </c>
      <c r="AE178" s="216" t="s">
        <v>19</v>
      </c>
      <c r="AF178" s="216" t="s">
        <v>1173</v>
      </c>
      <c r="AG178" s="216" t="s">
        <v>13</v>
      </c>
    </row>
    <row r="179" spans="1:33" x14ac:dyDescent="0.25">
      <c r="A179" s="13" t="s">
        <v>20</v>
      </c>
      <c r="B179" s="94" t="s">
        <v>1309</v>
      </c>
      <c r="C179" s="91" t="s">
        <v>181</v>
      </c>
      <c r="D179" s="14"/>
      <c r="E179" s="16"/>
      <c r="F179" s="17"/>
      <c r="G179" s="17"/>
      <c r="H179" s="25"/>
      <c r="I179" s="18"/>
      <c r="J179" s="19"/>
      <c r="K179" s="19"/>
      <c r="L179" s="20"/>
      <c r="M179" s="20"/>
      <c r="N179" s="20"/>
      <c r="O179" s="20"/>
      <c r="P179" s="17"/>
      <c r="Q179" s="21"/>
      <c r="R179" s="22"/>
      <c r="S179" s="22"/>
      <c r="T179" s="281">
        <v>45181</v>
      </c>
      <c r="U179" s="282">
        <v>1.7</v>
      </c>
      <c r="V179" s="45"/>
      <c r="W179" s="23"/>
      <c r="X179" s="268">
        <v>12128.571428571429</v>
      </c>
      <c r="Y179" s="255">
        <v>0</v>
      </c>
      <c r="Z179" s="30"/>
      <c r="AA179" s="254">
        <v>10</v>
      </c>
      <c r="AB179" s="253">
        <f>X179/26*AA179</f>
        <v>4664.8351648351654</v>
      </c>
      <c r="AC179" s="255"/>
      <c r="AD179" s="255"/>
      <c r="AE179" s="30">
        <f>Y179+AB179+AD179</f>
        <v>4664.8351648351654</v>
      </c>
      <c r="AF179" s="30">
        <f>Sheet10!K43</f>
        <v>17096</v>
      </c>
      <c r="AG179" s="30">
        <f>AF179+AE179</f>
        <v>21760.835164835167</v>
      </c>
    </row>
    <row r="180" spans="1:33" x14ac:dyDescent="0.25">
      <c r="A180" s="13" t="s">
        <v>23</v>
      </c>
      <c r="B180" s="242" t="s">
        <v>1312</v>
      </c>
      <c r="C180" s="91" t="s">
        <v>1198</v>
      </c>
      <c r="D180" s="14"/>
      <c r="E180" s="16"/>
      <c r="F180" s="17"/>
      <c r="G180" s="17"/>
      <c r="H180" s="25"/>
      <c r="I180" s="18"/>
      <c r="J180" s="19"/>
      <c r="K180" s="19"/>
      <c r="L180" s="20"/>
      <c r="M180" s="20"/>
      <c r="N180" s="20"/>
      <c r="O180" s="20"/>
      <c r="P180" s="17"/>
      <c r="Q180" s="21"/>
      <c r="R180" s="22"/>
      <c r="S180" s="22"/>
      <c r="T180" s="281">
        <v>45047</v>
      </c>
      <c r="U180" s="282">
        <v>2</v>
      </c>
      <c r="V180" s="45"/>
      <c r="W180" s="23"/>
      <c r="X180" s="268">
        <v>11714.285714285714</v>
      </c>
      <c r="Y180" s="255">
        <v>0</v>
      </c>
      <c r="Z180" s="30"/>
      <c r="AA180" s="254">
        <v>12</v>
      </c>
      <c r="AB180" s="288">
        <f>X180/26*AA180</f>
        <v>5406.5934065934061</v>
      </c>
      <c r="AC180" s="255"/>
      <c r="AD180" s="255"/>
      <c r="AE180" s="30">
        <f>Y180+AB180+AD180</f>
        <v>5406.5934065934061</v>
      </c>
      <c r="AF180" s="30">
        <f>Sheet10!L43</f>
        <v>19276</v>
      </c>
      <c r="AG180" s="30">
        <f>AF180+AE180</f>
        <v>24682.593406593405</v>
      </c>
    </row>
    <row r="181" spans="1:33" x14ac:dyDescent="0.25">
      <c r="A181" s="223"/>
      <c r="B181" s="224" t="s">
        <v>48</v>
      </c>
      <c r="C181" s="225"/>
      <c r="D181" s="225"/>
      <c r="E181" s="225"/>
      <c r="F181" s="226"/>
      <c r="G181" s="226"/>
      <c r="H181" s="226"/>
      <c r="I181" s="225"/>
      <c r="J181" s="227">
        <f>SUM(J179:J179)</f>
        <v>0</v>
      </c>
      <c r="K181" s="228"/>
      <c r="L181" s="226"/>
      <c r="M181" s="229"/>
      <c r="N181" s="226"/>
      <c r="O181" s="226"/>
      <c r="P181" s="229"/>
      <c r="Q181" s="225"/>
      <c r="R181" s="225"/>
      <c r="S181" s="225"/>
      <c r="T181" s="225"/>
      <c r="U181" s="225"/>
      <c r="V181" s="216"/>
      <c r="W181" s="224"/>
      <c r="X181" s="226"/>
      <c r="Y181" s="226">
        <f>SUM(Y179:Y179)</f>
        <v>0</v>
      </c>
      <c r="Z181" s="226"/>
      <c r="AA181" s="225"/>
      <c r="AB181" s="226">
        <f>SUM(AB179:AB179)</f>
        <v>4664.8351648351654</v>
      </c>
      <c r="AC181" s="226"/>
      <c r="AD181" s="226"/>
      <c r="AE181" s="226">
        <f>SUM(AE179:AE179)</f>
        <v>4664.8351648351654</v>
      </c>
      <c r="AF181" s="226">
        <f>SUM(AF179:AF179)</f>
        <v>17096</v>
      </c>
      <c r="AG181" s="226">
        <f>SUM(AG179:AG179)</f>
        <v>21760.835164835167</v>
      </c>
    </row>
    <row r="184" spans="1:33" x14ac:dyDescent="0.25">
      <c r="A184" s="307" t="s">
        <v>0</v>
      </c>
      <c r="B184" s="307"/>
      <c r="C184" s="307"/>
      <c r="D184" s="30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</row>
    <row r="185" spans="1:33" x14ac:dyDescent="0.25">
      <c r="A185" s="308" t="s">
        <v>100</v>
      </c>
      <c r="B185" s="308"/>
      <c r="C185" s="308"/>
      <c r="D185" s="308"/>
      <c r="E185" s="308"/>
      <c r="F185" s="308"/>
      <c r="G185" s="308"/>
      <c r="H185" s="308"/>
      <c r="I185" s="308"/>
      <c r="J185" s="308"/>
      <c r="K185" s="308"/>
      <c r="L185" s="308"/>
      <c r="M185" s="308"/>
      <c r="N185" s="308"/>
      <c r="O185" s="308"/>
      <c r="P185" s="308"/>
      <c r="Q185" s="308"/>
      <c r="R185" s="308"/>
      <c r="S185" s="308"/>
      <c r="T185" s="308"/>
      <c r="U185" s="308"/>
      <c r="V185" s="308"/>
      <c r="W185" s="308"/>
      <c r="X185" s="308"/>
      <c r="Y185" s="308"/>
      <c r="Z185" s="308"/>
      <c r="AA185" s="308"/>
      <c r="AB185" s="308"/>
      <c r="AC185" s="308"/>
      <c r="AD185" s="308"/>
      <c r="AE185" s="308"/>
      <c r="AF185" s="308"/>
      <c r="AG185" s="308"/>
    </row>
    <row r="186" spans="1:33" ht="63" x14ac:dyDescent="0.25">
      <c r="A186" s="214" t="s">
        <v>2</v>
      </c>
      <c r="B186" s="215" t="s">
        <v>3</v>
      </c>
      <c r="C186" s="216" t="s">
        <v>4</v>
      </c>
      <c r="D186" s="217" t="s">
        <v>5</v>
      </c>
      <c r="E186" s="218"/>
      <c r="F186" s="218"/>
      <c r="G186" s="218"/>
      <c r="H186" s="218"/>
      <c r="I186" s="218"/>
      <c r="J186" s="219" t="s">
        <v>6</v>
      </c>
      <c r="K186" s="219" t="s">
        <v>7</v>
      </c>
      <c r="L186" s="220"/>
      <c r="M186" s="220"/>
      <c r="N186" s="309" t="s">
        <v>8</v>
      </c>
      <c r="O186" s="309"/>
      <c r="P186" s="309"/>
      <c r="Q186" s="217" t="s">
        <v>9</v>
      </c>
      <c r="R186" s="217" t="s">
        <v>10</v>
      </c>
      <c r="S186" s="217"/>
      <c r="T186" s="217" t="s">
        <v>11</v>
      </c>
      <c r="U186" s="217" t="s">
        <v>1220</v>
      </c>
      <c r="V186" s="217" t="s">
        <v>6</v>
      </c>
      <c r="W186" s="221" t="s">
        <v>13</v>
      </c>
      <c r="X186" s="251" t="s">
        <v>1165</v>
      </c>
      <c r="Y186" s="222" t="s">
        <v>15</v>
      </c>
      <c r="Z186" s="217" t="s">
        <v>1140</v>
      </c>
      <c r="AA186" s="309" t="s">
        <v>17</v>
      </c>
      <c r="AB186" s="309"/>
      <c r="AC186" s="217" t="s">
        <v>1181</v>
      </c>
      <c r="AD186" s="217" t="s">
        <v>1179</v>
      </c>
      <c r="AE186" s="216" t="s">
        <v>19</v>
      </c>
      <c r="AF186" s="216" t="s">
        <v>1173</v>
      </c>
      <c r="AG186" s="216" t="s">
        <v>13</v>
      </c>
    </row>
    <row r="187" spans="1:33" x14ac:dyDescent="0.25">
      <c r="A187" s="13" t="s">
        <v>20</v>
      </c>
      <c r="B187" s="94" t="s">
        <v>1314</v>
      </c>
      <c r="C187" s="91" t="s">
        <v>37</v>
      </c>
      <c r="D187" s="14"/>
      <c r="E187" s="16"/>
      <c r="F187" s="17"/>
      <c r="G187" s="17"/>
      <c r="H187" s="25"/>
      <c r="I187" s="18"/>
      <c r="J187" s="19"/>
      <c r="K187" s="19"/>
      <c r="L187" s="20"/>
      <c r="M187" s="20"/>
      <c r="N187" s="20"/>
      <c r="O187" s="20"/>
      <c r="P187" s="17"/>
      <c r="Q187" s="21"/>
      <c r="R187" s="22"/>
      <c r="S187" s="22"/>
      <c r="T187" s="281">
        <v>45292</v>
      </c>
      <c r="U187" s="282">
        <v>1.7</v>
      </c>
      <c r="V187" s="45"/>
      <c r="W187" s="23"/>
      <c r="X187" s="268">
        <v>7143</v>
      </c>
      <c r="Y187" s="255">
        <v>0</v>
      </c>
      <c r="Z187" s="30"/>
      <c r="AA187" s="254">
        <v>6</v>
      </c>
      <c r="AB187" s="253">
        <f>X187/26*AA187</f>
        <v>1648.3846153846152</v>
      </c>
      <c r="AC187" s="255"/>
      <c r="AD187" s="255"/>
      <c r="AE187" s="30">
        <f>Y187+AB187+AD187</f>
        <v>1648.3846153846152</v>
      </c>
      <c r="AF187" s="30">
        <f>Sheet10!M43</f>
        <v>5856</v>
      </c>
      <c r="AG187" s="30">
        <f>AF187+AE187</f>
        <v>7504.3846153846152</v>
      </c>
    </row>
    <row r="188" spans="1:33" x14ac:dyDescent="0.25">
      <c r="A188" s="13"/>
      <c r="B188" s="242"/>
      <c r="C188" s="91"/>
      <c r="D188" s="14"/>
      <c r="E188" s="16"/>
      <c r="F188" s="17"/>
      <c r="G188" s="17"/>
      <c r="H188" s="25"/>
      <c r="I188" s="18"/>
      <c r="J188" s="19"/>
      <c r="K188" s="19"/>
      <c r="L188" s="20"/>
      <c r="M188" s="20"/>
      <c r="N188" s="20"/>
      <c r="O188" s="20"/>
      <c r="P188" s="17"/>
      <c r="Q188" s="21"/>
      <c r="R188" s="22"/>
      <c r="S188" s="22"/>
      <c r="T188" s="281"/>
      <c r="U188" s="282"/>
      <c r="V188" s="45"/>
      <c r="W188" s="23"/>
      <c r="X188" s="268"/>
      <c r="Y188" s="255"/>
      <c r="Z188" s="30"/>
      <c r="AA188" s="254"/>
      <c r="AB188" s="288"/>
      <c r="AC188" s="255"/>
      <c r="AD188" s="255"/>
      <c r="AE188" s="30"/>
      <c r="AF188" s="30"/>
      <c r="AG188" s="30"/>
    </row>
    <row r="189" spans="1:33" x14ac:dyDescent="0.25">
      <c r="A189" s="223"/>
      <c r="B189" s="224" t="s">
        <v>48</v>
      </c>
      <c r="C189" s="225"/>
      <c r="D189" s="225"/>
      <c r="E189" s="225"/>
      <c r="F189" s="226"/>
      <c r="G189" s="226"/>
      <c r="H189" s="226"/>
      <c r="I189" s="225"/>
      <c r="J189" s="227">
        <f>SUM(J187:J187)</f>
        <v>0</v>
      </c>
      <c r="K189" s="228"/>
      <c r="L189" s="226"/>
      <c r="M189" s="229"/>
      <c r="N189" s="226"/>
      <c r="O189" s="226"/>
      <c r="P189" s="229"/>
      <c r="Q189" s="225"/>
      <c r="R189" s="225"/>
      <c r="S189" s="225"/>
      <c r="T189" s="225"/>
      <c r="U189" s="225"/>
      <c r="V189" s="216"/>
      <c r="W189" s="224"/>
      <c r="X189" s="226"/>
      <c r="Y189" s="226">
        <f>SUM(Y187:Y187)</f>
        <v>0</v>
      </c>
      <c r="Z189" s="226"/>
      <c r="AA189" s="225"/>
      <c r="AB189" s="226">
        <f>SUM(AB187:AB187)</f>
        <v>1648.3846153846152</v>
      </c>
      <c r="AC189" s="226"/>
      <c r="AD189" s="226"/>
      <c r="AE189" s="226">
        <f>SUM(AE187:AE187)</f>
        <v>1648.3846153846152</v>
      </c>
      <c r="AF189" s="226">
        <f>SUM(AF187:AF187)</f>
        <v>5856</v>
      </c>
      <c r="AG189" s="226">
        <f>SUM(AG187:AG187)</f>
        <v>7504.3846153846152</v>
      </c>
    </row>
    <row r="192" spans="1:33" x14ac:dyDescent="0.25">
      <c r="A192" s="307" t="s">
        <v>0</v>
      </c>
      <c r="B192" s="307"/>
      <c r="C192" s="307"/>
      <c r="D192" s="307"/>
      <c r="E192" s="307"/>
      <c r="F192" s="307"/>
      <c r="G192" s="307"/>
      <c r="H192" s="307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7"/>
      <c r="AA192" s="307"/>
      <c r="AB192" s="307"/>
      <c r="AC192" s="307"/>
      <c r="AD192" s="307"/>
      <c r="AE192" s="307"/>
      <c r="AF192" s="307"/>
      <c r="AG192" s="307"/>
    </row>
    <row r="193" spans="1:33" x14ac:dyDescent="0.25">
      <c r="A193" s="308" t="s">
        <v>100</v>
      </c>
      <c r="B193" s="308"/>
      <c r="C193" s="308"/>
      <c r="D193" s="308"/>
      <c r="E193" s="308"/>
      <c r="F193" s="308"/>
      <c r="G193" s="308"/>
      <c r="H193" s="308"/>
      <c r="I193" s="308"/>
      <c r="J193" s="308"/>
      <c r="K193" s="308"/>
      <c r="L193" s="308"/>
      <c r="M193" s="308"/>
      <c r="N193" s="308"/>
      <c r="O193" s="308"/>
      <c r="P193" s="308"/>
      <c r="Q193" s="308"/>
      <c r="R193" s="308"/>
      <c r="S193" s="308"/>
      <c r="T193" s="308"/>
      <c r="U193" s="308"/>
      <c r="V193" s="308"/>
      <c r="W193" s="308"/>
      <c r="X193" s="308"/>
      <c r="Y193" s="308"/>
      <c r="Z193" s="308"/>
      <c r="AA193" s="308"/>
      <c r="AB193" s="308"/>
      <c r="AC193" s="308"/>
      <c r="AD193" s="308"/>
      <c r="AE193" s="308"/>
      <c r="AF193" s="308"/>
      <c r="AG193" s="308"/>
    </row>
    <row r="194" spans="1:33" ht="63" x14ac:dyDescent="0.25">
      <c r="A194" s="214" t="s">
        <v>2</v>
      </c>
      <c r="B194" s="215" t="s">
        <v>3</v>
      </c>
      <c r="C194" s="216" t="s">
        <v>4</v>
      </c>
      <c r="D194" s="217" t="s">
        <v>5</v>
      </c>
      <c r="E194" s="218"/>
      <c r="F194" s="218"/>
      <c r="G194" s="218"/>
      <c r="H194" s="218"/>
      <c r="I194" s="218"/>
      <c r="J194" s="219" t="s">
        <v>6</v>
      </c>
      <c r="K194" s="219" t="s">
        <v>7</v>
      </c>
      <c r="L194" s="220"/>
      <c r="M194" s="220"/>
      <c r="N194" s="309" t="s">
        <v>8</v>
      </c>
      <c r="O194" s="309"/>
      <c r="P194" s="309"/>
      <c r="Q194" s="217" t="s">
        <v>9</v>
      </c>
      <c r="R194" s="217" t="s">
        <v>10</v>
      </c>
      <c r="S194" s="217"/>
      <c r="T194" s="217" t="s">
        <v>11</v>
      </c>
      <c r="U194" s="217" t="s">
        <v>1220</v>
      </c>
      <c r="V194" s="217" t="s">
        <v>6</v>
      </c>
      <c r="W194" s="221" t="s">
        <v>13</v>
      </c>
      <c r="X194" s="251" t="s">
        <v>1165</v>
      </c>
      <c r="Y194" s="222" t="s">
        <v>15</v>
      </c>
      <c r="Z194" s="217" t="s">
        <v>1140</v>
      </c>
      <c r="AA194" s="309" t="s">
        <v>17</v>
      </c>
      <c r="AB194" s="309"/>
      <c r="AC194" s="217" t="s">
        <v>1181</v>
      </c>
      <c r="AD194" s="217" t="s">
        <v>1179</v>
      </c>
      <c r="AE194" s="216" t="s">
        <v>19</v>
      </c>
      <c r="AF194" s="216" t="s">
        <v>1173</v>
      </c>
      <c r="AG194" s="216" t="s">
        <v>13</v>
      </c>
    </row>
    <row r="195" spans="1:33" x14ac:dyDescent="0.25">
      <c r="A195" s="13" t="s">
        <v>20</v>
      </c>
      <c r="B195" s="264" t="s">
        <v>1316</v>
      </c>
      <c r="C195" s="91" t="s">
        <v>1317</v>
      </c>
      <c r="D195" s="14"/>
      <c r="E195" s="16"/>
      <c r="F195" s="17"/>
      <c r="G195" s="17"/>
      <c r="H195" s="25"/>
      <c r="I195" s="18"/>
      <c r="J195" s="19"/>
      <c r="K195" s="19"/>
      <c r="L195" s="20"/>
      <c r="M195" s="20"/>
      <c r="N195" s="20"/>
      <c r="O195" s="20"/>
      <c r="P195" s="17"/>
      <c r="Q195" s="21"/>
      <c r="R195" s="22"/>
      <c r="S195" s="22"/>
      <c r="T195" s="281">
        <v>44774</v>
      </c>
      <c r="U195" s="276">
        <v>2.1</v>
      </c>
      <c r="V195" s="45"/>
      <c r="W195" s="23"/>
      <c r="X195" s="268">
        <v>11342.857142857143</v>
      </c>
      <c r="Y195" s="255">
        <v>0</v>
      </c>
      <c r="Z195" s="30"/>
      <c r="AA195" s="254">
        <v>19</v>
      </c>
      <c r="AB195" s="253">
        <f>X195/26*AA195</f>
        <v>8289.0109890109889</v>
      </c>
      <c r="AC195" s="255"/>
      <c r="AD195" s="255"/>
      <c r="AE195" s="30">
        <f>Y195+AB195+AD195</f>
        <v>8289.0109890109889</v>
      </c>
      <c r="AF195" s="30">
        <v>30382</v>
      </c>
      <c r="AG195" s="30">
        <f>AF195+AE195</f>
        <v>38671.010989010989</v>
      </c>
    </row>
    <row r="196" spans="1:33" x14ac:dyDescent="0.25">
      <c r="A196" s="13" t="s">
        <v>23</v>
      </c>
      <c r="B196" s="94" t="s">
        <v>1328</v>
      </c>
      <c r="C196" s="91" t="s">
        <v>1329</v>
      </c>
      <c r="D196" s="14"/>
      <c r="E196" s="16"/>
      <c r="F196" s="17"/>
      <c r="G196" s="17"/>
      <c r="H196" s="25"/>
      <c r="I196" s="18"/>
      <c r="J196" s="19"/>
      <c r="K196" s="19"/>
      <c r="L196" s="20"/>
      <c r="M196" s="20"/>
      <c r="N196" s="20"/>
      <c r="O196" s="20"/>
      <c r="P196" s="17"/>
      <c r="Q196" s="21"/>
      <c r="R196" s="22"/>
      <c r="S196" s="22"/>
      <c r="T196" s="281">
        <v>44713</v>
      </c>
      <c r="U196" s="282">
        <v>3.3</v>
      </c>
      <c r="V196" s="45"/>
      <c r="W196" s="23"/>
      <c r="X196" s="268">
        <v>11128.571428571429</v>
      </c>
      <c r="Y196" s="255">
        <v>0</v>
      </c>
      <c r="Z196" s="30"/>
      <c r="AA196" s="254">
        <v>19</v>
      </c>
      <c r="AB196" s="253">
        <f>X196/26*AA196</f>
        <v>8132.4175824175827</v>
      </c>
      <c r="AC196" s="255"/>
      <c r="AD196" s="255"/>
      <c r="AE196" s="30">
        <f>Y196+AB196+AD196</f>
        <v>8132.4175824175827</v>
      </c>
      <c r="AF196" s="30">
        <v>30866</v>
      </c>
      <c r="AG196" s="30"/>
    </row>
    <row r="197" spans="1:33" x14ac:dyDescent="0.25">
      <c r="A197" s="223"/>
      <c r="B197" s="224" t="s">
        <v>48</v>
      </c>
      <c r="C197" s="225"/>
      <c r="D197" s="225"/>
      <c r="E197" s="225"/>
      <c r="F197" s="226"/>
      <c r="G197" s="226"/>
      <c r="H197" s="226"/>
      <c r="I197" s="225"/>
      <c r="J197" s="227">
        <f>SUM(J195:J195)</f>
        <v>0</v>
      </c>
      <c r="K197" s="228"/>
      <c r="L197" s="226"/>
      <c r="M197" s="229"/>
      <c r="N197" s="226"/>
      <c r="O197" s="226"/>
      <c r="P197" s="229"/>
      <c r="Q197" s="225"/>
      <c r="R197" s="225"/>
      <c r="S197" s="225"/>
      <c r="T197" s="225"/>
      <c r="U197" s="225"/>
      <c r="V197" s="216"/>
      <c r="W197" s="224"/>
      <c r="X197" s="226"/>
      <c r="Y197" s="226">
        <f>SUM(Y195:Y195)</f>
        <v>0</v>
      </c>
      <c r="Z197" s="226"/>
      <c r="AA197" s="225"/>
      <c r="AB197" s="226">
        <f>SUM(AB195:AB195)</f>
        <v>8289.0109890109889</v>
      </c>
      <c r="AC197" s="226"/>
      <c r="AD197" s="226"/>
      <c r="AE197" s="226">
        <f>SUM(AE195:AE195)</f>
        <v>8289.0109890109889</v>
      </c>
      <c r="AF197" s="226">
        <f>SUM(AF195:AF195)</f>
        <v>30382</v>
      </c>
      <c r="AG197" s="226">
        <f>SUM(AG195:AG195)</f>
        <v>38671.010989010989</v>
      </c>
    </row>
    <row r="200" spans="1:33" x14ac:dyDescent="0.25">
      <c r="X200" s="1">
        <f>X195*40%</f>
        <v>4537.1428571428578</v>
      </c>
    </row>
    <row r="201" spans="1:33" x14ac:dyDescent="0.25">
      <c r="X201" s="90">
        <f>X200+X195</f>
        <v>15880</v>
      </c>
    </row>
    <row r="203" spans="1:33" x14ac:dyDescent="0.25">
      <c r="A203" s="307" t="s">
        <v>0</v>
      </c>
      <c r="B203" s="307"/>
      <c r="C203" s="307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  <c r="X203" s="307"/>
      <c r="Y203" s="307"/>
      <c r="Z203" s="307"/>
      <c r="AA203" s="307"/>
      <c r="AB203" s="307"/>
      <c r="AC203" s="307"/>
      <c r="AD203" s="307"/>
      <c r="AE203" s="307"/>
      <c r="AF203" s="307"/>
      <c r="AG203" s="307"/>
    </row>
    <row r="204" spans="1:33" x14ac:dyDescent="0.25">
      <c r="A204" s="308" t="s">
        <v>100</v>
      </c>
      <c r="B204" s="308"/>
      <c r="C204" s="308"/>
      <c r="D204" s="308"/>
      <c r="E204" s="308"/>
      <c r="F204" s="308"/>
      <c r="G204" s="308"/>
      <c r="H204" s="308"/>
      <c r="I204" s="308"/>
      <c r="J204" s="308"/>
      <c r="K204" s="308"/>
      <c r="L204" s="308"/>
      <c r="M204" s="308"/>
      <c r="N204" s="308"/>
      <c r="O204" s="308"/>
      <c r="P204" s="308"/>
      <c r="Q204" s="308"/>
      <c r="R204" s="308"/>
      <c r="S204" s="308"/>
      <c r="T204" s="308"/>
      <c r="U204" s="308"/>
      <c r="V204" s="308"/>
      <c r="W204" s="308"/>
      <c r="X204" s="308"/>
      <c r="Y204" s="308"/>
      <c r="Z204" s="308"/>
      <c r="AA204" s="308"/>
      <c r="AB204" s="308"/>
      <c r="AC204" s="308"/>
      <c r="AD204" s="308"/>
      <c r="AE204" s="308"/>
      <c r="AF204" s="308"/>
      <c r="AG204" s="308"/>
    </row>
    <row r="205" spans="1:33" ht="63" x14ac:dyDescent="0.25">
      <c r="A205" s="214" t="s">
        <v>2</v>
      </c>
      <c r="B205" s="215" t="s">
        <v>3</v>
      </c>
      <c r="C205" s="216" t="s">
        <v>4</v>
      </c>
      <c r="D205" s="217" t="s">
        <v>5</v>
      </c>
      <c r="E205" s="218"/>
      <c r="F205" s="218"/>
      <c r="G205" s="218"/>
      <c r="H205" s="218"/>
      <c r="I205" s="218"/>
      <c r="J205" s="219" t="s">
        <v>6</v>
      </c>
      <c r="K205" s="219" t="s">
        <v>7</v>
      </c>
      <c r="L205" s="220"/>
      <c r="M205" s="220"/>
      <c r="N205" s="309" t="s">
        <v>8</v>
      </c>
      <c r="O205" s="309"/>
      <c r="P205" s="309"/>
      <c r="Q205" s="217" t="s">
        <v>9</v>
      </c>
      <c r="R205" s="217" t="s">
        <v>10</v>
      </c>
      <c r="S205" s="217"/>
      <c r="T205" s="217" t="s">
        <v>11</v>
      </c>
      <c r="U205" s="217" t="s">
        <v>1220</v>
      </c>
      <c r="V205" s="217" t="s">
        <v>6</v>
      </c>
      <c r="W205" s="221" t="s">
        <v>13</v>
      </c>
      <c r="X205" s="251" t="s">
        <v>1165</v>
      </c>
      <c r="Y205" s="222" t="s">
        <v>15</v>
      </c>
      <c r="Z205" s="217" t="s">
        <v>1140</v>
      </c>
      <c r="AA205" s="309" t="s">
        <v>17</v>
      </c>
      <c r="AB205" s="309"/>
      <c r="AC205" s="217" t="s">
        <v>1181</v>
      </c>
      <c r="AD205" s="217" t="s">
        <v>1179</v>
      </c>
      <c r="AE205" s="216" t="s">
        <v>19</v>
      </c>
      <c r="AF205" s="216" t="s">
        <v>1173</v>
      </c>
      <c r="AG205" s="216" t="s">
        <v>13</v>
      </c>
    </row>
    <row r="206" spans="1:33" x14ac:dyDescent="0.25">
      <c r="A206" s="13" t="s">
        <v>20</v>
      </c>
      <c r="B206" s="264" t="s">
        <v>159</v>
      </c>
      <c r="C206" s="91" t="s">
        <v>1331</v>
      </c>
      <c r="D206" s="14"/>
      <c r="E206" s="16"/>
      <c r="F206" s="17"/>
      <c r="G206" s="17"/>
      <c r="H206" s="25"/>
      <c r="I206" s="18"/>
      <c r="J206" s="19"/>
      <c r="K206" s="19"/>
      <c r="L206" s="20"/>
      <c r="M206" s="20"/>
      <c r="N206" s="20"/>
      <c r="O206" s="20"/>
      <c r="P206" s="17"/>
      <c r="Q206" s="21"/>
      <c r="R206" s="22"/>
      <c r="S206" s="22"/>
      <c r="T206" s="281">
        <v>42887</v>
      </c>
      <c r="U206" s="282">
        <v>8.6</v>
      </c>
      <c r="V206" s="45"/>
      <c r="W206" s="23"/>
      <c r="X206" s="268">
        <v>25804</v>
      </c>
      <c r="Y206" s="255">
        <f>X206*5</f>
        <v>129020</v>
      </c>
      <c r="Z206" s="30"/>
      <c r="AA206" s="254">
        <v>61</v>
      </c>
      <c r="AB206" s="253">
        <f>X206/26*AA206</f>
        <v>60540.153846153844</v>
      </c>
      <c r="AC206" s="255"/>
      <c r="AD206" s="255"/>
      <c r="AE206" s="30">
        <f>Y206+AB206+AD206</f>
        <v>189560.15384615384</v>
      </c>
      <c r="AF206" s="30">
        <v>85898</v>
      </c>
      <c r="AG206" s="30">
        <f>AF206+AE206</f>
        <v>275458.15384615387</v>
      </c>
    </row>
    <row r="207" spans="1:33" x14ac:dyDescent="0.25">
      <c r="A207" s="223"/>
      <c r="B207" s="224" t="s">
        <v>48</v>
      </c>
      <c r="C207" s="225"/>
      <c r="D207" s="225"/>
      <c r="E207" s="225"/>
      <c r="F207" s="226"/>
      <c r="G207" s="226"/>
      <c r="H207" s="226"/>
      <c r="I207" s="225"/>
      <c r="J207" s="227">
        <f>SUM(J206:J206)</f>
        <v>0</v>
      </c>
      <c r="K207" s="228"/>
      <c r="L207" s="226"/>
      <c r="M207" s="229"/>
      <c r="N207" s="226"/>
      <c r="O207" s="226"/>
      <c r="P207" s="229"/>
      <c r="Q207" s="225"/>
      <c r="R207" s="225"/>
      <c r="S207" s="225"/>
      <c r="T207" s="225"/>
      <c r="U207" s="225"/>
      <c r="V207" s="216"/>
      <c r="W207" s="224"/>
      <c r="X207" s="226"/>
      <c r="Y207" s="226">
        <f>SUM(Y206:Y206)</f>
        <v>129020</v>
      </c>
      <c r="Z207" s="226"/>
      <c r="AA207" s="225"/>
      <c r="AB207" s="226">
        <f>SUM(AB206:AB206)</f>
        <v>60540.153846153844</v>
      </c>
      <c r="AC207" s="226"/>
      <c r="AD207" s="226"/>
      <c r="AE207" s="226">
        <f>SUM(AE206:AE206)</f>
        <v>189560.15384615384</v>
      </c>
      <c r="AF207" s="226">
        <f>SUM(AF206:AF206)</f>
        <v>85898</v>
      </c>
      <c r="AG207" s="226">
        <f>SUM(AG206:AG206)</f>
        <v>275458.15384615387</v>
      </c>
    </row>
    <row r="209" spans="1:33" x14ac:dyDescent="0.25">
      <c r="A209" s="70" t="s">
        <v>1342</v>
      </c>
      <c r="B209" s="293" t="s">
        <v>1332</v>
      </c>
      <c r="T209" s="22" t="s">
        <v>1343</v>
      </c>
      <c r="U209" s="22"/>
      <c r="V209" s="45"/>
      <c r="W209" s="22"/>
      <c r="X209" s="22"/>
    </row>
    <row r="210" spans="1:33" x14ac:dyDescent="0.25">
      <c r="A210" s="70" t="s">
        <v>1333</v>
      </c>
      <c r="B210" s="22">
        <v>3</v>
      </c>
      <c r="T210" s="22" t="s">
        <v>1344</v>
      </c>
      <c r="U210" s="22">
        <v>3104</v>
      </c>
      <c r="V210" s="45"/>
      <c r="W210" s="22"/>
      <c r="X210" s="22"/>
    </row>
    <row r="211" spans="1:33" x14ac:dyDescent="0.25">
      <c r="A211" s="70" t="s">
        <v>1334</v>
      </c>
      <c r="B211" s="22">
        <v>3</v>
      </c>
      <c r="T211" s="22" t="s">
        <v>1345</v>
      </c>
      <c r="U211" s="22">
        <v>443</v>
      </c>
      <c r="V211" s="45"/>
      <c r="W211" s="22"/>
      <c r="X211" s="22"/>
    </row>
    <row r="212" spans="1:33" x14ac:dyDescent="0.25">
      <c r="A212" s="70" t="s">
        <v>1335</v>
      </c>
      <c r="B212" s="22">
        <v>2</v>
      </c>
      <c r="T212" s="22" t="s">
        <v>1346</v>
      </c>
      <c r="U212" s="22">
        <f>(14*8.6)-(28)</f>
        <v>92.399999999999991</v>
      </c>
      <c r="V212" s="45"/>
      <c r="W212" s="22"/>
      <c r="X212" s="22" t="s">
        <v>1347</v>
      </c>
      <c r="Y212" s="1">
        <f>14*8.6-28</f>
        <v>92.399999999999991</v>
      </c>
    </row>
    <row r="213" spans="1:33" x14ac:dyDescent="0.25">
      <c r="A213" s="70" t="s">
        <v>1336</v>
      </c>
      <c r="B213" s="22">
        <v>6</v>
      </c>
      <c r="T213" s="22" t="s">
        <v>1348</v>
      </c>
      <c r="U213" s="68">
        <f>U210-U211-U212</f>
        <v>2568.6</v>
      </c>
      <c r="V213" s="45"/>
      <c r="W213" s="22"/>
      <c r="X213" s="22"/>
      <c r="AD213" s="90"/>
    </row>
    <row r="214" spans="1:33" x14ac:dyDescent="0.25">
      <c r="A214" s="70" t="s">
        <v>1337</v>
      </c>
      <c r="B214" s="22">
        <v>4</v>
      </c>
      <c r="T214" s="22" t="s">
        <v>1290</v>
      </c>
      <c r="U214" s="68">
        <f>U213/21</f>
        <v>122.31428571428572</v>
      </c>
      <c r="V214" s="45"/>
      <c r="W214" s="22"/>
      <c r="X214" s="22"/>
      <c r="AD214" s="90"/>
    </row>
    <row r="215" spans="1:33" x14ac:dyDescent="0.25">
      <c r="A215" s="70" t="s">
        <v>1338</v>
      </c>
      <c r="B215" s="22">
        <v>2</v>
      </c>
      <c r="T215" s="22" t="s">
        <v>1349</v>
      </c>
      <c r="U215" s="68">
        <f>U214/2</f>
        <v>61.157142857142858</v>
      </c>
      <c r="V215" s="45"/>
      <c r="W215" s="22"/>
      <c r="X215" s="22"/>
    </row>
    <row r="216" spans="1:33" x14ac:dyDescent="0.25">
      <c r="A216" s="70" t="s">
        <v>1339</v>
      </c>
      <c r="B216" s="22">
        <v>4</v>
      </c>
    </row>
    <row r="217" spans="1:33" x14ac:dyDescent="0.25">
      <c r="A217" s="70" t="s">
        <v>1340</v>
      </c>
      <c r="B217" s="22">
        <v>2</v>
      </c>
    </row>
    <row r="218" spans="1:33" x14ac:dyDescent="0.25">
      <c r="A218" s="70" t="s">
        <v>1341</v>
      </c>
      <c r="B218" s="22">
        <v>2</v>
      </c>
    </row>
    <row r="219" spans="1:33" x14ac:dyDescent="0.25">
      <c r="A219" s="70" t="s">
        <v>19</v>
      </c>
      <c r="B219" s="22">
        <f>SUM(B210:B218)</f>
        <v>28</v>
      </c>
    </row>
    <row r="222" spans="1:33" x14ac:dyDescent="0.25">
      <c r="A222" s="307" t="s">
        <v>0</v>
      </c>
      <c r="B222" s="307"/>
      <c r="C222" s="307"/>
      <c r="D222" s="307"/>
      <c r="E222" s="307"/>
      <c r="F222" s="307"/>
      <c r="G222" s="307"/>
      <c r="H222" s="307"/>
      <c r="I222" s="307"/>
      <c r="J222" s="307"/>
      <c r="K222" s="307"/>
      <c r="L222" s="307"/>
      <c r="M222" s="307"/>
      <c r="N222" s="307"/>
      <c r="O222" s="307"/>
      <c r="P222" s="307"/>
      <c r="Q222" s="307"/>
      <c r="R222" s="307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7"/>
      <c r="AD222" s="307"/>
      <c r="AE222" s="307"/>
      <c r="AF222" s="307"/>
      <c r="AG222" s="307"/>
    </row>
    <row r="223" spans="1:33" x14ac:dyDescent="0.25">
      <c r="A223" s="308" t="s">
        <v>100</v>
      </c>
      <c r="B223" s="308"/>
      <c r="C223" s="308"/>
      <c r="D223" s="308"/>
      <c r="E223" s="308"/>
      <c r="F223" s="308"/>
      <c r="G223" s="308"/>
      <c r="H223" s="308"/>
      <c r="I223" s="308"/>
      <c r="J223" s="308"/>
      <c r="K223" s="308"/>
      <c r="L223" s="308"/>
      <c r="M223" s="308"/>
      <c r="N223" s="308"/>
      <c r="O223" s="308"/>
      <c r="P223" s="308"/>
      <c r="Q223" s="308"/>
      <c r="R223" s="308"/>
      <c r="S223" s="308"/>
      <c r="T223" s="308"/>
      <c r="U223" s="308"/>
      <c r="V223" s="308"/>
      <c r="W223" s="308"/>
      <c r="X223" s="308"/>
      <c r="Y223" s="308"/>
      <c r="Z223" s="308"/>
      <c r="AA223" s="308"/>
      <c r="AB223" s="308"/>
      <c r="AC223" s="308"/>
      <c r="AD223" s="308"/>
      <c r="AE223" s="308"/>
      <c r="AF223" s="308"/>
      <c r="AG223" s="308"/>
    </row>
    <row r="224" spans="1:33" ht="63" x14ac:dyDescent="0.25">
      <c r="A224" s="214" t="s">
        <v>2</v>
      </c>
      <c r="B224" s="215" t="s">
        <v>3</v>
      </c>
      <c r="C224" s="216" t="s">
        <v>4</v>
      </c>
      <c r="D224" s="217" t="s">
        <v>5</v>
      </c>
      <c r="E224" s="218"/>
      <c r="F224" s="218"/>
      <c r="G224" s="218"/>
      <c r="H224" s="218"/>
      <c r="I224" s="218"/>
      <c r="J224" s="219" t="s">
        <v>6</v>
      </c>
      <c r="K224" s="219" t="s">
        <v>7</v>
      </c>
      <c r="L224" s="220"/>
      <c r="M224" s="220"/>
      <c r="N224" s="309" t="s">
        <v>8</v>
      </c>
      <c r="O224" s="309"/>
      <c r="P224" s="309"/>
      <c r="Q224" s="217" t="s">
        <v>9</v>
      </c>
      <c r="R224" s="217" t="s">
        <v>10</v>
      </c>
      <c r="S224" s="217"/>
      <c r="T224" s="217" t="s">
        <v>11</v>
      </c>
      <c r="U224" s="217" t="s">
        <v>1220</v>
      </c>
      <c r="V224" s="217" t="s">
        <v>6</v>
      </c>
      <c r="W224" s="221" t="s">
        <v>13</v>
      </c>
      <c r="X224" s="251" t="s">
        <v>1165</v>
      </c>
      <c r="Y224" s="222" t="s">
        <v>15</v>
      </c>
      <c r="Z224" s="217" t="s">
        <v>1140</v>
      </c>
      <c r="AA224" s="309" t="s">
        <v>17</v>
      </c>
      <c r="AB224" s="309"/>
      <c r="AC224" s="217" t="s">
        <v>1181</v>
      </c>
      <c r="AD224" s="217" t="s">
        <v>1179</v>
      </c>
      <c r="AE224" s="216" t="s">
        <v>19</v>
      </c>
      <c r="AF224" s="216" t="s">
        <v>1173</v>
      </c>
      <c r="AG224" s="216" t="s">
        <v>13</v>
      </c>
    </row>
    <row r="225" spans="1:33" x14ac:dyDescent="0.25">
      <c r="A225" s="13" t="s">
        <v>20</v>
      </c>
      <c r="B225" s="94" t="s">
        <v>389</v>
      </c>
      <c r="C225" s="91" t="s">
        <v>391</v>
      </c>
      <c r="D225" s="14"/>
      <c r="E225" s="16"/>
      <c r="F225" s="17"/>
      <c r="G225" s="17"/>
      <c r="H225" s="25"/>
      <c r="I225" s="18"/>
      <c r="J225" s="19"/>
      <c r="K225" s="19"/>
      <c r="L225" s="20"/>
      <c r="M225" s="20"/>
      <c r="N225" s="20"/>
      <c r="O225" s="20"/>
      <c r="P225" s="17"/>
      <c r="Q225" s="21"/>
      <c r="R225" s="22"/>
      <c r="S225" s="22"/>
      <c r="T225" s="281">
        <v>41711</v>
      </c>
      <c r="U225" s="282" t="s">
        <v>1350</v>
      </c>
      <c r="V225" s="45"/>
      <c r="W225" s="23"/>
      <c r="X225" s="268">
        <v>39129.172697474998</v>
      </c>
      <c r="Y225" s="255">
        <f>X225*8</f>
        <v>313033.38157979999</v>
      </c>
      <c r="Z225" s="30"/>
      <c r="AA225" s="254">
        <v>85</v>
      </c>
      <c r="AB225" s="253">
        <f>X225/26*AA225</f>
        <v>127922.2953571298</v>
      </c>
      <c r="AC225" s="255"/>
      <c r="AD225" s="255"/>
      <c r="AE225" s="30">
        <f>Y225+AB225+AD225</f>
        <v>440955.67693692981</v>
      </c>
      <c r="AF225" s="30">
        <v>141862.58142887565</v>
      </c>
      <c r="AG225" s="30">
        <f>AF225+AE225</f>
        <v>582818.25836580549</v>
      </c>
    </row>
    <row r="226" spans="1:33" x14ac:dyDescent="0.25">
      <c r="A226" s="223"/>
      <c r="B226" s="224" t="s">
        <v>48</v>
      </c>
      <c r="C226" s="225"/>
      <c r="D226" s="225"/>
      <c r="E226" s="225"/>
      <c r="F226" s="226"/>
      <c r="G226" s="226"/>
      <c r="H226" s="226"/>
      <c r="I226" s="225"/>
      <c r="J226" s="227">
        <f>SUM(J225:J225)</f>
        <v>0</v>
      </c>
      <c r="K226" s="228"/>
      <c r="L226" s="226"/>
      <c r="M226" s="229"/>
      <c r="N226" s="226"/>
      <c r="O226" s="226"/>
      <c r="P226" s="229"/>
      <c r="Q226" s="225"/>
      <c r="R226" s="225"/>
      <c r="S226" s="225"/>
      <c r="T226" s="225"/>
      <c r="U226" s="225"/>
      <c r="V226" s="216"/>
      <c r="W226" s="224"/>
      <c r="X226" s="226"/>
      <c r="Y226" s="226">
        <f>SUM(Y225:Y225)</f>
        <v>313033.38157979999</v>
      </c>
      <c r="Z226" s="226"/>
      <c r="AA226" s="225"/>
      <c r="AB226" s="226">
        <f>SUM(AB225:AB225)</f>
        <v>127922.2953571298</v>
      </c>
      <c r="AC226" s="226"/>
      <c r="AD226" s="226"/>
      <c r="AE226" s="226">
        <f>SUM(AE225:AE225)</f>
        <v>440955.67693692981</v>
      </c>
      <c r="AF226" s="226">
        <f>SUM(AF225:AF225)</f>
        <v>141862.58142887565</v>
      </c>
      <c r="AG226" s="226">
        <f>SUM(AG225:AG225)</f>
        <v>582818.25836580549</v>
      </c>
    </row>
    <row r="228" spans="1:33" x14ac:dyDescent="0.25">
      <c r="A228" s="70"/>
      <c r="B228" s="293"/>
      <c r="T228" s="22" t="s">
        <v>1343</v>
      </c>
      <c r="U228" s="22"/>
      <c r="V228" s="45"/>
      <c r="W228" s="22"/>
      <c r="X228" s="22"/>
    </row>
    <row r="229" spans="1:33" x14ac:dyDescent="0.25">
      <c r="A229" s="70"/>
      <c r="B229" s="22"/>
      <c r="T229" s="22" t="s">
        <v>1344</v>
      </c>
      <c r="U229" s="22">
        <v>4311</v>
      </c>
      <c r="V229" s="45"/>
      <c r="W229" s="22"/>
      <c r="X229" s="22"/>
    </row>
    <row r="230" spans="1:33" x14ac:dyDescent="0.25">
      <c r="A230" s="70"/>
      <c r="B230" s="22"/>
      <c r="T230" s="22" t="s">
        <v>1345</v>
      </c>
      <c r="U230" s="22">
        <v>615</v>
      </c>
      <c r="V230" s="45"/>
      <c r="W230" s="22"/>
      <c r="X230" s="22"/>
    </row>
    <row r="231" spans="1:33" x14ac:dyDescent="0.25">
      <c r="A231" s="70"/>
      <c r="B231" s="22"/>
      <c r="T231" s="22" t="s">
        <v>1346</v>
      </c>
      <c r="U231" s="22">
        <v>120</v>
      </c>
      <c r="V231" s="45"/>
      <c r="W231" s="22"/>
      <c r="X231" s="22" t="s">
        <v>1351</v>
      </c>
      <c r="Y231" s="1">
        <f>14*11.1-35</f>
        <v>120.4</v>
      </c>
    </row>
    <row r="232" spans="1:33" x14ac:dyDescent="0.25">
      <c r="A232" s="70"/>
      <c r="B232" s="22"/>
      <c r="T232" s="22" t="s">
        <v>1348</v>
      </c>
      <c r="U232" s="68">
        <f>U229-U230-U231</f>
        <v>3576</v>
      </c>
      <c r="V232" s="45"/>
      <c r="W232" s="22"/>
      <c r="X232" s="22"/>
      <c r="AD232" s="90"/>
    </row>
    <row r="233" spans="1:33" x14ac:dyDescent="0.25">
      <c r="A233" s="70"/>
      <c r="B233" s="22"/>
      <c r="T233" s="22" t="s">
        <v>1290</v>
      </c>
      <c r="U233" s="68">
        <f>U232/21</f>
        <v>170.28571428571428</v>
      </c>
      <c r="V233" s="45"/>
      <c r="W233" s="22"/>
      <c r="X233" s="22"/>
      <c r="AD233" s="90"/>
    </row>
    <row r="234" spans="1:33" x14ac:dyDescent="0.25">
      <c r="A234" s="70"/>
      <c r="B234" s="22"/>
      <c r="T234" s="22" t="s">
        <v>1349</v>
      </c>
      <c r="U234" s="68">
        <f>U233/2</f>
        <v>85.142857142857139</v>
      </c>
      <c r="V234" s="45"/>
      <c r="W234" s="22"/>
      <c r="X234" s="22"/>
    </row>
    <row r="235" spans="1:33" x14ac:dyDescent="0.25">
      <c r="A235" s="70"/>
      <c r="B235" s="22"/>
    </row>
    <row r="236" spans="1:33" x14ac:dyDescent="0.25">
      <c r="A236" s="70"/>
      <c r="B236" s="22"/>
    </row>
    <row r="237" spans="1:33" x14ac:dyDescent="0.25">
      <c r="A237" s="70"/>
      <c r="B237" s="22"/>
    </row>
    <row r="238" spans="1:33" x14ac:dyDescent="0.25">
      <c r="A238" s="70"/>
      <c r="B238" s="22"/>
    </row>
    <row r="241" spans="1:33" x14ac:dyDescent="0.25">
      <c r="A241" s="307" t="s">
        <v>0</v>
      </c>
      <c r="B241" s="307"/>
      <c r="C241" s="307"/>
      <c r="D241" s="307"/>
      <c r="E241" s="307"/>
      <c r="F241" s="307"/>
      <c r="G241" s="307"/>
      <c r="H241" s="307"/>
      <c r="I241" s="307"/>
      <c r="J241" s="307"/>
      <c r="K241" s="307"/>
      <c r="L241" s="307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</row>
    <row r="242" spans="1:33" x14ac:dyDescent="0.25">
      <c r="A242" s="308" t="s">
        <v>100</v>
      </c>
      <c r="B242" s="308"/>
      <c r="C242" s="308"/>
      <c r="D242" s="308"/>
      <c r="E242" s="308"/>
      <c r="F242" s="308"/>
      <c r="G242" s="308"/>
      <c r="H242" s="308"/>
      <c r="I242" s="308"/>
      <c r="J242" s="308"/>
      <c r="K242" s="308"/>
      <c r="L242" s="308"/>
      <c r="M242" s="308"/>
      <c r="N242" s="308"/>
      <c r="O242" s="308"/>
      <c r="P242" s="308"/>
      <c r="Q242" s="308"/>
      <c r="R242" s="308"/>
      <c r="S242" s="308"/>
      <c r="T242" s="308"/>
      <c r="U242" s="308"/>
      <c r="V242" s="308"/>
      <c r="W242" s="308"/>
      <c r="X242" s="308"/>
      <c r="Y242" s="308"/>
      <c r="Z242" s="308"/>
      <c r="AA242" s="308"/>
      <c r="AB242" s="308"/>
      <c r="AC242" s="308"/>
      <c r="AD242" s="308"/>
      <c r="AE242" s="308"/>
      <c r="AF242" s="308"/>
      <c r="AG242" s="308"/>
    </row>
    <row r="243" spans="1:33" ht="63" x14ac:dyDescent="0.25">
      <c r="A243" s="214" t="s">
        <v>2</v>
      </c>
      <c r="B243" s="215" t="s">
        <v>3</v>
      </c>
      <c r="C243" s="216" t="s">
        <v>4</v>
      </c>
      <c r="D243" s="217" t="s">
        <v>5</v>
      </c>
      <c r="E243" s="218"/>
      <c r="F243" s="218"/>
      <c r="G243" s="218"/>
      <c r="H243" s="218"/>
      <c r="I243" s="218"/>
      <c r="J243" s="219" t="s">
        <v>6</v>
      </c>
      <c r="K243" s="219" t="s">
        <v>7</v>
      </c>
      <c r="L243" s="220"/>
      <c r="M243" s="220"/>
      <c r="N243" s="309" t="s">
        <v>8</v>
      </c>
      <c r="O243" s="309"/>
      <c r="P243" s="309"/>
      <c r="Q243" s="217" t="s">
        <v>9</v>
      </c>
      <c r="R243" s="217" t="s">
        <v>10</v>
      </c>
      <c r="S243" s="217"/>
      <c r="T243" s="217" t="s">
        <v>11</v>
      </c>
      <c r="U243" s="217" t="s">
        <v>1220</v>
      </c>
      <c r="V243" s="217" t="s">
        <v>6</v>
      </c>
      <c r="W243" s="221" t="s">
        <v>13</v>
      </c>
      <c r="X243" s="251" t="s">
        <v>1165</v>
      </c>
      <c r="Y243" s="222" t="s">
        <v>15</v>
      </c>
      <c r="Z243" s="217" t="s">
        <v>1140</v>
      </c>
      <c r="AA243" s="309" t="s">
        <v>17</v>
      </c>
      <c r="AB243" s="309"/>
      <c r="AC243" s="217" t="s">
        <v>1181</v>
      </c>
      <c r="AD243" s="217" t="s">
        <v>1179</v>
      </c>
      <c r="AE243" s="216" t="s">
        <v>19</v>
      </c>
      <c r="AF243" s="216" t="s">
        <v>1173</v>
      </c>
      <c r="AG243" s="216" t="s">
        <v>13</v>
      </c>
    </row>
    <row r="244" spans="1:33" x14ac:dyDescent="0.25">
      <c r="A244" s="13" t="s">
        <v>20</v>
      </c>
      <c r="B244" s="94" t="s">
        <v>466</v>
      </c>
      <c r="C244" s="91" t="s">
        <v>1352</v>
      </c>
      <c r="D244" s="14"/>
      <c r="E244" s="16"/>
      <c r="F244" s="17"/>
      <c r="G244" s="17"/>
      <c r="H244" s="25"/>
      <c r="I244" s="18"/>
      <c r="J244" s="19"/>
      <c r="K244" s="19"/>
      <c r="L244" s="20"/>
      <c r="M244" s="20"/>
      <c r="N244" s="20"/>
      <c r="O244" s="20"/>
      <c r="P244" s="17"/>
      <c r="Q244" s="21"/>
      <c r="R244" s="22"/>
      <c r="S244" s="22"/>
      <c r="T244" s="281">
        <v>40544</v>
      </c>
      <c r="U244" s="282" t="s">
        <v>1353</v>
      </c>
      <c r="V244" s="45"/>
      <c r="W244" s="23"/>
      <c r="X244" s="268">
        <v>32348.654982696076</v>
      </c>
      <c r="Y244" s="255">
        <f>X244*11</f>
        <v>355835.20480965683</v>
      </c>
      <c r="Z244" s="30"/>
      <c r="AA244" s="294">
        <v>107</v>
      </c>
      <c r="AB244" s="295">
        <f>X244/26*AA244</f>
        <v>133127.15704417232</v>
      </c>
      <c r="AC244" s="255"/>
      <c r="AD244" s="255"/>
      <c r="AE244" s="30">
        <f>Y244+AB244+AD244</f>
        <v>488962.36185382912</v>
      </c>
      <c r="AF244" s="30">
        <v>110084.36813612522</v>
      </c>
      <c r="AG244" s="30">
        <f>AF244+AE244</f>
        <v>599046.72998995439</v>
      </c>
    </row>
    <row r="245" spans="1:33" x14ac:dyDescent="0.25">
      <c r="A245" s="223"/>
      <c r="B245" s="224" t="s">
        <v>48</v>
      </c>
      <c r="C245" s="225"/>
      <c r="D245" s="225"/>
      <c r="E245" s="225"/>
      <c r="F245" s="226"/>
      <c r="G245" s="226"/>
      <c r="H245" s="226"/>
      <c r="I245" s="225"/>
      <c r="J245" s="227">
        <f>SUM(J244:J244)</f>
        <v>0</v>
      </c>
      <c r="K245" s="228"/>
      <c r="L245" s="226"/>
      <c r="M245" s="229"/>
      <c r="N245" s="226"/>
      <c r="O245" s="226"/>
      <c r="P245" s="229"/>
      <c r="Q245" s="225"/>
      <c r="R245" s="225"/>
      <c r="S245" s="225"/>
      <c r="T245" s="225"/>
      <c r="U245" s="225"/>
      <c r="V245" s="216"/>
      <c r="W245" s="224"/>
      <c r="X245" s="226"/>
      <c r="Y245" s="226">
        <f>SUM(Y244:Y244)</f>
        <v>355835.20480965683</v>
      </c>
      <c r="Z245" s="226"/>
      <c r="AA245" s="225"/>
      <c r="AB245" s="226">
        <f>SUM(AB244:AB244)</f>
        <v>133127.15704417232</v>
      </c>
      <c r="AC245" s="226"/>
      <c r="AD245" s="226"/>
      <c r="AE245" s="226">
        <f>SUM(AE244:AE244)</f>
        <v>488962.36185382912</v>
      </c>
      <c r="AF245" s="226">
        <f>SUM(AF244:AF244)</f>
        <v>110084.36813612522</v>
      </c>
      <c r="AG245" s="226">
        <f>SUM(AG244:AG244)</f>
        <v>599046.72998995439</v>
      </c>
    </row>
    <row r="247" spans="1:33" x14ac:dyDescent="0.25">
      <c r="A247" s="70" t="s">
        <v>1342</v>
      </c>
      <c r="B247" s="293" t="s">
        <v>1332</v>
      </c>
      <c r="T247" s="22" t="s">
        <v>1343</v>
      </c>
      <c r="U247" s="22"/>
      <c r="V247" s="45"/>
      <c r="W247" s="22"/>
      <c r="X247" s="22"/>
    </row>
    <row r="248" spans="1:33" x14ac:dyDescent="0.25">
      <c r="A248" s="22">
        <v>2010</v>
      </c>
      <c r="B248" s="22">
        <v>3</v>
      </c>
      <c r="T248" s="22" t="s">
        <v>1344</v>
      </c>
      <c r="U248" s="22">
        <v>5436</v>
      </c>
      <c r="V248" s="45"/>
      <c r="W248" s="22"/>
      <c r="X248" s="22"/>
    </row>
    <row r="249" spans="1:33" x14ac:dyDescent="0.25">
      <c r="A249" s="22">
        <v>2011</v>
      </c>
      <c r="B249" s="22">
        <v>1</v>
      </c>
      <c r="T249" s="22" t="s">
        <v>1345</v>
      </c>
      <c r="U249" s="22">
        <v>777</v>
      </c>
      <c r="V249" s="45"/>
      <c r="W249" s="22"/>
      <c r="X249" s="22"/>
    </row>
    <row r="250" spans="1:33" x14ac:dyDescent="0.25">
      <c r="A250" s="22">
        <v>2012</v>
      </c>
      <c r="B250" s="22">
        <v>0</v>
      </c>
      <c r="T250" s="22" t="s">
        <v>1346</v>
      </c>
      <c r="U250" s="22">
        <f>(14*15)-(39)</f>
        <v>171</v>
      </c>
      <c r="V250" s="45"/>
      <c r="W250" s="22"/>
      <c r="X250" s="22" t="s">
        <v>1384</v>
      </c>
      <c r="Y250" s="1">
        <f>14*15-39</f>
        <v>171</v>
      </c>
    </row>
    <row r="251" spans="1:33" x14ac:dyDescent="0.25">
      <c r="A251" s="22">
        <v>2013</v>
      </c>
      <c r="B251" s="22">
        <v>2</v>
      </c>
      <c r="T251" s="22" t="s">
        <v>1348</v>
      </c>
      <c r="U251" s="68">
        <f>U248-U249-U250</f>
        <v>4488</v>
      </c>
      <c r="V251" s="45"/>
      <c r="W251" s="22"/>
      <c r="X251" s="22"/>
    </row>
    <row r="252" spans="1:33" x14ac:dyDescent="0.25">
      <c r="A252" s="22">
        <v>2014</v>
      </c>
      <c r="B252" s="22">
        <v>2</v>
      </c>
      <c r="T252" s="22" t="s">
        <v>1290</v>
      </c>
      <c r="U252" s="68">
        <f>U251/21</f>
        <v>213.71428571428572</v>
      </c>
      <c r="V252" s="45"/>
      <c r="W252" s="22"/>
      <c r="X252" s="22"/>
    </row>
    <row r="253" spans="1:33" x14ac:dyDescent="0.25">
      <c r="A253" s="22">
        <v>2015</v>
      </c>
      <c r="B253" s="22">
        <v>3</v>
      </c>
      <c r="T253" s="22" t="s">
        <v>1349</v>
      </c>
      <c r="U253" s="68">
        <f>U252/2</f>
        <v>106.85714285714286</v>
      </c>
      <c r="V253" s="45"/>
      <c r="W253" s="22"/>
      <c r="X253" s="22"/>
    </row>
    <row r="254" spans="1:33" x14ac:dyDescent="0.25">
      <c r="A254" s="22">
        <v>2016</v>
      </c>
      <c r="B254" s="22">
        <v>3</v>
      </c>
    </row>
    <row r="255" spans="1:33" x14ac:dyDescent="0.25">
      <c r="A255" s="70" t="s">
        <v>1333</v>
      </c>
      <c r="B255" s="22">
        <v>3</v>
      </c>
    </row>
    <row r="256" spans="1:33" x14ac:dyDescent="0.25">
      <c r="A256" s="70" t="s">
        <v>1334</v>
      </c>
      <c r="B256" s="22">
        <v>3</v>
      </c>
    </row>
    <row r="257" spans="1:30" x14ac:dyDescent="0.25">
      <c r="A257" s="70" t="s">
        <v>1335</v>
      </c>
      <c r="B257" s="22">
        <v>2</v>
      </c>
      <c r="AA257" s="1">
        <f>11*14</f>
        <v>154</v>
      </c>
    </row>
    <row r="258" spans="1:30" x14ac:dyDescent="0.25">
      <c r="A258" s="70" t="s">
        <v>1336</v>
      </c>
      <c r="B258" s="22">
        <v>6</v>
      </c>
      <c r="AA258" s="1">
        <f>14/12*10</f>
        <v>11.666666666666668</v>
      </c>
      <c r="AD258" s="90"/>
    </row>
    <row r="259" spans="1:30" x14ac:dyDescent="0.25">
      <c r="A259" s="70" t="s">
        <v>1337</v>
      </c>
      <c r="B259" s="22">
        <v>4</v>
      </c>
      <c r="AD259" s="90"/>
    </row>
    <row r="260" spans="1:30" x14ac:dyDescent="0.25">
      <c r="A260" s="70" t="s">
        <v>1338</v>
      </c>
      <c r="B260" s="22">
        <v>2</v>
      </c>
    </row>
    <row r="261" spans="1:30" x14ac:dyDescent="0.25">
      <c r="A261" s="70" t="s">
        <v>1339</v>
      </c>
      <c r="B261" s="22">
        <v>4</v>
      </c>
    </row>
    <row r="262" spans="1:30" x14ac:dyDescent="0.25">
      <c r="A262" s="70" t="s">
        <v>1340</v>
      </c>
      <c r="B262" s="22">
        <v>2</v>
      </c>
    </row>
    <row r="263" spans="1:30" x14ac:dyDescent="0.25">
      <c r="A263" s="70" t="s">
        <v>1341</v>
      </c>
      <c r="B263" s="22">
        <v>2</v>
      </c>
    </row>
    <row r="264" spans="1:30" x14ac:dyDescent="0.25">
      <c r="A264" s="70" t="s">
        <v>19</v>
      </c>
      <c r="B264" s="22">
        <f>SUM(B249:B263)</f>
        <v>39</v>
      </c>
    </row>
  </sheetData>
  <mergeCells count="81">
    <mergeCell ref="A242:AG242"/>
    <mergeCell ref="N243:P243"/>
    <mergeCell ref="AA243:AB243"/>
    <mergeCell ref="A222:AG222"/>
    <mergeCell ref="A223:AG223"/>
    <mergeCell ref="N224:P224"/>
    <mergeCell ref="AA224:AB224"/>
    <mergeCell ref="A241:AG241"/>
    <mergeCell ref="A42:AE42"/>
    <mergeCell ref="N43:P43"/>
    <mergeCell ref="AA43:AB43"/>
    <mergeCell ref="A91:AE91"/>
    <mergeCell ref="A66:AE66"/>
    <mergeCell ref="A67:AE67"/>
    <mergeCell ref="N68:P68"/>
    <mergeCell ref="AA68:AB68"/>
    <mergeCell ref="A54:AE54"/>
    <mergeCell ref="A55:AE55"/>
    <mergeCell ref="N56:P56"/>
    <mergeCell ref="AA56:AB56"/>
    <mergeCell ref="A29:AE29"/>
    <mergeCell ref="A30:AE30"/>
    <mergeCell ref="N31:P31"/>
    <mergeCell ref="AA31:AB31"/>
    <mergeCell ref="A41:AE41"/>
    <mergeCell ref="A17:AE17"/>
    <mergeCell ref="N18:P18"/>
    <mergeCell ref="AA18:AB18"/>
    <mergeCell ref="A1:AE1"/>
    <mergeCell ref="A2:AE2"/>
    <mergeCell ref="N3:P3"/>
    <mergeCell ref="AA3:AB3"/>
    <mergeCell ref="A16:AE16"/>
    <mergeCell ref="A116:AG116"/>
    <mergeCell ref="A117:AG117"/>
    <mergeCell ref="A78:AE78"/>
    <mergeCell ref="A79:AE79"/>
    <mergeCell ref="N80:P80"/>
    <mergeCell ref="AA80:AB80"/>
    <mergeCell ref="A92:AE92"/>
    <mergeCell ref="N93:P93"/>
    <mergeCell ref="AA93:AB93"/>
    <mergeCell ref="A103:AE103"/>
    <mergeCell ref="A104:AE104"/>
    <mergeCell ref="N105:P105"/>
    <mergeCell ref="AA105:AB105"/>
    <mergeCell ref="A155:AG155"/>
    <mergeCell ref="N156:P156"/>
    <mergeCell ref="AA156:AB156"/>
    <mergeCell ref="A163:AG163"/>
    <mergeCell ref="AI118:AK118"/>
    <mergeCell ref="N118:P118"/>
    <mergeCell ref="AA118:AB118"/>
    <mergeCell ref="A130:AG130"/>
    <mergeCell ref="A131:AG131"/>
    <mergeCell ref="N132:P132"/>
    <mergeCell ref="AA132:AB132"/>
    <mergeCell ref="A146:AG146"/>
    <mergeCell ref="A147:AG147"/>
    <mergeCell ref="N148:P148"/>
    <mergeCell ref="AA148:AB148"/>
    <mergeCell ref="A154:AG154"/>
    <mergeCell ref="A185:AG185"/>
    <mergeCell ref="N186:P186"/>
    <mergeCell ref="AA186:AB186"/>
    <mergeCell ref="A164:AG164"/>
    <mergeCell ref="N165:P165"/>
    <mergeCell ref="AA165:AB165"/>
    <mergeCell ref="A176:AG176"/>
    <mergeCell ref="A177:AG177"/>
    <mergeCell ref="N178:P178"/>
    <mergeCell ref="AA178:AB178"/>
    <mergeCell ref="A184:AG184"/>
    <mergeCell ref="A203:AG203"/>
    <mergeCell ref="A204:AG204"/>
    <mergeCell ref="N205:P205"/>
    <mergeCell ref="AA205:AB205"/>
    <mergeCell ref="A192:AG192"/>
    <mergeCell ref="A193:AG193"/>
    <mergeCell ref="N194:P194"/>
    <mergeCell ref="AA194:AB194"/>
  </mergeCells>
  <phoneticPr fontId="35" type="noConversion"/>
  <pageMargins left="0.55000000000000004" right="0.44" top="0.75" bottom="0.75" header="0.3" footer="0.3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Leave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2025-12-06T11:45:43Z</dcterms:modified>
</cp:coreProperties>
</file>